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athe\Documents\SNES\CTA\2025 CTA janvier 2025\GT DHG et strudos\"/>
    </mc:Choice>
  </mc:AlternateContent>
  <xr:revisionPtr revIDLastSave="0" documentId="8_{958A1C7D-F6C5-4D97-8DB4-0744D0A8747C}" xr6:coauthVersionLast="47" xr6:coauthVersionMax="47" xr10:uidLastSave="{00000000-0000-0000-0000-000000000000}"/>
  <bookViews>
    <workbookView xWindow="-110" yWindow="-110" windowWidth="19420" windowHeight="10300" tabRatio="500" activeTab="1" xr2:uid="{F5D90A92-3B16-4CA8-A509-74E48A6077F9}"/>
  </bookViews>
  <sheets>
    <sheet name="TRMD" sheetId="1" r:id="rId1"/>
    <sheet name="2nde" sheetId="2" r:id="rId2"/>
    <sheet name="1ère" sheetId="3" r:id="rId3"/>
    <sheet name="Term" sheetId="4" r:id="rId4"/>
    <sheet name="Autonomie" sheetId="5" r:id="rId5"/>
  </sheets>
  <definedNames>
    <definedName name="Excel_BuiltIn_Print_Area" localSheetId="4">Autonomie!$A$1:$N$22</definedName>
    <definedName name="Excel_BuiltIn_Print_Area" localSheetId="0">TRMD!$A$1:$W$27</definedName>
    <definedName name="_xlnm.Print_Area" localSheetId="4">Autonomie!$A$1:$N$22</definedName>
    <definedName name="_xlnm.Print_Area" localSheetId="0">TRMD!$A$1:$W$27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B13" i="5"/>
  <c r="B7" i="5"/>
  <c r="B5" i="5"/>
  <c r="B19" i="5"/>
  <c r="B12" i="5"/>
  <c r="D6" i="5"/>
  <c r="K6" i="5" s="1"/>
  <c r="B9" i="5"/>
  <c r="B8" i="5"/>
  <c r="D13" i="5"/>
  <c r="L24" i="1"/>
  <c r="J13" i="5"/>
  <c r="F22" i="3"/>
  <c r="F26" i="3"/>
  <c r="I22" i="3"/>
  <c r="H22" i="2"/>
  <c r="G22" i="2"/>
  <c r="L10" i="2"/>
  <c r="M10" i="2" s="1"/>
  <c r="L11" i="2"/>
  <c r="M11" i="2" s="1"/>
  <c r="B9" i="1" s="1"/>
  <c r="L12" i="2"/>
  <c r="M12" i="2" s="1"/>
  <c r="B12" i="1" s="1"/>
  <c r="K12" i="1" s="1"/>
  <c r="Q12" i="1" s="1"/>
  <c r="W12" i="1" s="1"/>
  <c r="L13" i="2"/>
  <c r="M13" i="2" s="1"/>
  <c r="B13" i="1" s="1"/>
  <c r="L14" i="2"/>
  <c r="M14" i="2" s="1"/>
  <c r="B11" i="1" s="1"/>
  <c r="K11" i="1" s="1"/>
  <c r="Q11" i="1" s="1"/>
  <c r="W11" i="1" s="1"/>
  <c r="L15" i="2"/>
  <c r="M15" i="2" s="1"/>
  <c r="B14" i="1" s="1"/>
  <c r="K14" i="1" s="1"/>
  <c r="Q14" i="1" s="1"/>
  <c r="W14" i="1" s="1"/>
  <c r="L16" i="2"/>
  <c r="M16" i="2" s="1"/>
  <c r="B15" i="1" s="1"/>
  <c r="L17" i="2"/>
  <c r="L18" i="2"/>
  <c r="L19" i="2"/>
  <c r="L20" i="2"/>
  <c r="L6" i="2"/>
  <c r="L7" i="2"/>
  <c r="M7" i="2"/>
  <c r="L8" i="2"/>
  <c r="M8" i="2" s="1"/>
  <c r="B10" i="1" s="1"/>
  <c r="L9" i="2"/>
  <c r="M9" i="2" s="1"/>
  <c r="E22" i="4"/>
  <c r="E26" i="4" s="1"/>
  <c r="H22" i="3"/>
  <c r="H26" i="3" s="1"/>
  <c r="B22" i="3"/>
  <c r="E22" i="3"/>
  <c r="E26" i="3"/>
  <c r="D22" i="3"/>
  <c r="D26" i="3" s="1"/>
  <c r="N6" i="3"/>
  <c r="O6" i="3"/>
  <c r="C5" i="1" s="1"/>
  <c r="N7" i="3"/>
  <c r="O7" i="3"/>
  <c r="C6" i="1"/>
  <c r="N8" i="3"/>
  <c r="O8" i="3"/>
  <c r="C10" i="1" s="1"/>
  <c r="O9" i="3"/>
  <c r="N10" i="3"/>
  <c r="O10" i="3" s="1"/>
  <c r="N11" i="3"/>
  <c r="O11" i="3"/>
  <c r="C9" i="1"/>
  <c r="N12" i="3"/>
  <c r="O12" i="3"/>
  <c r="C12" i="1"/>
  <c r="N13" i="3"/>
  <c r="O13" i="3"/>
  <c r="C13" i="1"/>
  <c r="N14" i="3"/>
  <c r="O14" i="3" s="1"/>
  <c r="C11" i="1" s="1"/>
  <c r="N15" i="3"/>
  <c r="O15" i="3"/>
  <c r="C14" i="1"/>
  <c r="N16" i="3"/>
  <c r="O16" i="3"/>
  <c r="C15" i="1"/>
  <c r="N17" i="3"/>
  <c r="O17" i="3" s="1"/>
  <c r="C16" i="1" s="1"/>
  <c r="N18" i="3"/>
  <c r="O18" i="3"/>
  <c r="C17" i="1"/>
  <c r="N19" i="3"/>
  <c r="O19" i="3"/>
  <c r="C18" i="1"/>
  <c r="N20" i="3"/>
  <c r="O20" i="3"/>
  <c r="C19" i="1"/>
  <c r="B26" i="3"/>
  <c r="G22" i="3"/>
  <c r="J22" i="3"/>
  <c r="B24" i="3"/>
  <c r="G24" i="3"/>
  <c r="H24" i="3"/>
  <c r="O24" i="3" s="1"/>
  <c r="J24" i="3"/>
  <c r="C26" i="3"/>
  <c r="J26" i="3"/>
  <c r="K26" i="3"/>
  <c r="L26" i="3"/>
  <c r="M26" i="3"/>
  <c r="M17" i="2"/>
  <c r="B16" i="1"/>
  <c r="M18" i="2"/>
  <c r="B17" i="1"/>
  <c r="K17" i="1" s="1"/>
  <c r="Q17" i="1" s="1"/>
  <c r="W17" i="1" s="1"/>
  <c r="M19" i="2"/>
  <c r="B18" i="1"/>
  <c r="K18" i="1"/>
  <c r="Q18" i="1"/>
  <c r="W18" i="1"/>
  <c r="M20" i="2"/>
  <c r="B19" i="1" s="1"/>
  <c r="B21" i="2"/>
  <c r="B22" i="2"/>
  <c r="C22" i="2"/>
  <c r="C26" i="2"/>
  <c r="D22" i="2"/>
  <c r="D26" i="2"/>
  <c r="E22" i="2"/>
  <c r="F22" i="2"/>
  <c r="F26" i="2" s="1"/>
  <c r="N22" i="2"/>
  <c r="B24" i="2"/>
  <c r="E24" i="2"/>
  <c r="E26" i="2" s="1"/>
  <c r="F24" i="2"/>
  <c r="G24" i="2"/>
  <c r="G26" i="2" s="1"/>
  <c r="I26" i="2"/>
  <c r="J26" i="2"/>
  <c r="K26" i="2"/>
  <c r="B3" i="5"/>
  <c r="K3" i="5"/>
  <c r="B4" i="5"/>
  <c r="D4" i="5"/>
  <c r="K5" i="5"/>
  <c r="M5" i="5" s="1"/>
  <c r="N5" i="5" s="1"/>
  <c r="B6" i="5"/>
  <c r="K7" i="5"/>
  <c r="M7" i="5"/>
  <c r="N7" i="5"/>
  <c r="D8" i="5"/>
  <c r="K8" i="5"/>
  <c r="K9" i="5"/>
  <c r="M9" i="5" s="1"/>
  <c r="N9" i="5" s="1"/>
  <c r="B10" i="5"/>
  <c r="K10" i="5"/>
  <c r="M10" i="5"/>
  <c r="N10" i="5"/>
  <c r="B11" i="5"/>
  <c r="D11" i="5"/>
  <c r="K11" i="5"/>
  <c r="M11" i="5" s="1"/>
  <c r="K12" i="5"/>
  <c r="M12" i="5"/>
  <c r="N12" i="5" s="1"/>
  <c r="F13" i="5"/>
  <c r="B14" i="5"/>
  <c r="D14" i="5"/>
  <c r="K14" i="5"/>
  <c r="B15" i="5"/>
  <c r="D15" i="5"/>
  <c r="N15" i="5" s="1"/>
  <c r="K15" i="5"/>
  <c r="B16" i="5"/>
  <c r="D16" i="5"/>
  <c r="K16" i="5"/>
  <c r="B17" i="5"/>
  <c r="K17" i="5"/>
  <c r="M17" i="5" s="1"/>
  <c r="N17" i="5" s="1"/>
  <c r="E20" i="5"/>
  <c r="F20" i="5"/>
  <c r="G20" i="5"/>
  <c r="H20" i="5"/>
  <c r="I20" i="5"/>
  <c r="B22" i="5"/>
  <c r="M22" i="5" s="1"/>
  <c r="P6" i="4"/>
  <c r="Q6" i="4"/>
  <c r="P7" i="4"/>
  <c r="Q7" i="4" s="1"/>
  <c r="D6" i="1" s="1"/>
  <c r="P8" i="4"/>
  <c r="Q8" i="4"/>
  <c r="Q9" i="4"/>
  <c r="P10" i="4"/>
  <c r="Q10" i="4"/>
  <c r="D10" i="1" s="1"/>
  <c r="Q11" i="4"/>
  <c r="D9" i="1" s="1"/>
  <c r="P12" i="4"/>
  <c r="Q12" i="4"/>
  <c r="D12" i="1" s="1"/>
  <c r="P13" i="4"/>
  <c r="Q13" i="4" s="1"/>
  <c r="D13" i="1" s="1"/>
  <c r="P14" i="4"/>
  <c r="Q14" i="4"/>
  <c r="P15" i="4"/>
  <c r="Q15" i="4"/>
  <c r="D14" i="1"/>
  <c r="P16" i="4"/>
  <c r="Q16" i="4"/>
  <c r="D15" i="1" s="1"/>
  <c r="P17" i="4"/>
  <c r="Q17" i="4"/>
  <c r="D16" i="1" s="1"/>
  <c r="P18" i="4"/>
  <c r="Q18" i="4"/>
  <c r="P19" i="4"/>
  <c r="Q19" i="4"/>
  <c r="D18" i="1"/>
  <c r="P20" i="4"/>
  <c r="Q20" i="4"/>
  <c r="D19" i="1" s="1"/>
  <c r="B22" i="4"/>
  <c r="D22" i="4"/>
  <c r="D26" i="4"/>
  <c r="F22" i="4"/>
  <c r="F26" i="4" s="1"/>
  <c r="G22" i="4"/>
  <c r="I22" i="4"/>
  <c r="J22" i="4"/>
  <c r="K22" i="4"/>
  <c r="K26" i="4"/>
  <c r="M22" i="4"/>
  <c r="N22" i="4"/>
  <c r="O22" i="4"/>
  <c r="O26" i="4"/>
  <c r="B24" i="4"/>
  <c r="F24" i="4"/>
  <c r="G24" i="4"/>
  <c r="G26" i="4" s="1"/>
  <c r="I24" i="4"/>
  <c r="C26" i="4"/>
  <c r="H26" i="4"/>
  <c r="J26" i="4"/>
  <c r="M26" i="4"/>
  <c r="N26" i="4"/>
  <c r="B5" i="1"/>
  <c r="P5" i="1"/>
  <c r="P6" i="1"/>
  <c r="P9" i="1"/>
  <c r="P10" i="1"/>
  <c r="I11" i="1"/>
  <c r="I22" i="1"/>
  <c r="I26" i="1"/>
  <c r="P11" i="1"/>
  <c r="P22" i="1" s="1"/>
  <c r="T24" i="1" s="1"/>
  <c r="T25" i="1" s="1"/>
  <c r="P12" i="1"/>
  <c r="P13" i="1"/>
  <c r="P14" i="1"/>
  <c r="N15" i="1"/>
  <c r="P15" i="1" s="1"/>
  <c r="N22" i="1"/>
  <c r="P16" i="1"/>
  <c r="D17" i="1"/>
  <c r="P17" i="1"/>
  <c r="P18" i="1"/>
  <c r="P19" i="1"/>
  <c r="E22" i="1"/>
  <c r="F22" i="1"/>
  <c r="H22" i="1"/>
  <c r="H26" i="1"/>
  <c r="J22" i="1"/>
  <c r="J26" i="1"/>
  <c r="M22" i="1"/>
  <c r="O22" i="1"/>
  <c r="R22" i="1"/>
  <c r="S22" i="1"/>
  <c r="T22" i="1"/>
  <c r="U22" i="1"/>
  <c r="V22" i="1"/>
  <c r="X22" i="1"/>
  <c r="C24" i="1"/>
  <c r="K24" i="1" s="1"/>
  <c r="J24" i="1"/>
  <c r="E26" i="1"/>
  <c r="F26" i="1"/>
  <c r="G26" i="1"/>
  <c r="J20" i="5"/>
  <c r="M15" i="5"/>
  <c r="M8" i="5"/>
  <c r="N8" i="5"/>
  <c r="M3" i="5"/>
  <c r="N3" i="5" s="1"/>
  <c r="G26" i="3"/>
  <c r="I26" i="4"/>
  <c r="M14" i="5"/>
  <c r="N14" i="5"/>
  <c r="D11" i="1"/>
  <c r="D20" i="5" l="1"/>
  <c r="K13" i="1"/>
  <c r="Q13" i="1" s="1"/>
  <c r="W13" i="1" s="1"/>
  <c r="K13" i="5"/>
  <c r="B20" i="5"/>
  <c r="K10" i="1"/>
  <c r="Q10" i="1" s="1"/>
  <c r="W10" i="1" s="1"/>
  <c r="C8" i="5"/>
  <c r="M22" i="2"/>
  <c r="K9" i="1"/>
  <c r="Q9" i="1" s="1"/>
  <c r="W9" i="1" s="1"/>
  <c r="B26" i="4"/>
  <c r="Q24" i="4"/>
  <c r="L22" i="2"/>
  <c r="L26" i="2" s="1"/>
  <c r="M6" i="5"/>
  <c r="N6" i="5" s="1"/>
  <c r="K16" i="1"/>
  <c r="Q16" i="1" s="1"/>
  <c r="W16" i="1" s="1"/>
  <c r="C22" i="1"/>
  <c r="C26" i="1" s="1"/>
  <c r="C17" i="5"/>
  <c r="N22" i="3"/>
  <c r="N26" i="3" s="1"/>
  <c r="K5" i="1"/>
  <c r="M16" i="5"/>
  <c r="K19" i="1"/>
  <c r="Q19" i="1" s="1"/>
  <c r="W19" i="1" s="1"/>
  <c r="N16" i="5"/>
  <c r="N11" i="5"/>
  <c r="Q22" i="4"/>
  <c r="C11" i="5"/>
  <c r="M24" i="2"/>
  <c r="M26" i="2" s="1"/>
  <c r="B26" i="2"/>
  <c r="D5" i="1"/>
  <c r="D22" i="1" s="1"/>
  <c r="D26" i="1" s="1"/>
  <c r="P22" i="4"/>
  <c r="P26" i="4" s="1"/>
  <c r="K4" i="5"/>
  <c r="K15" i="1"/>
  <c r="Q15" i="1" s="1"/>
  <c r="W15" i="1" s="1"/>
  <c r="O22" i="3"/>
  <c r="O26" i="3" s="1"/>
  <c r="B6" i="1"/>
  <c r="K6" i="1" s="1"/>
  <c r="Q6" i="1" s="1"/>
  <c r="W6" i="1" s="1"/>
  <c r="C14" i="5" l="1"/>
  <c r="C5" i="5"/>
  <c r="C6" i="5"/>
  <c r="C10" i="5"/>
  <c r="C20" i="5"/>
  <c r="C3" i="5"/>
  <c r="C15" i="5"/>
  <c r="C7" i="5"/>
  <c r="C12" i="5"/>
  <c r="C13" i="5"/>
  <c r="C16" i="5"/>
  <c r="M4" i="5"/>
  <c r="N4" i="5" s="1"/>
  <c r="Q26" i="4"/>
  <c r="M13" i="5"/>
  <c r="N13" i="5" s="1"/>
  <c r="Q5" i="1"/>
  <c r="K22" i="1"/>
  <c r="K26" i="1" s="1"/>
  <c r="B22" i="1"/>
  <c r="B26" i="1" s="1"/>
  <c r="C9" i="5"/>
  <c r="C4" i="5"/>
  <c r="K20" i="5"/>
  <c r="D21" i="5"/>
  <c r="L17" i="5" l="1"/>
  <c r="L20" i="5"/>
  <c r="M20" i="5"/>
  <c r="L9" i="5"/>
  <c r="L14" i="5"/>
  <c r="E21" i="5"/>
  <c r="L11" i="5"/>
  <c r="L10" i="5"/>
  <c r="L12" i="5"/>
  <c r="L3" i="5"/>
  <c r="I21" i="5"/>
  <c r="L15" i="5"/>
  <c r="L16" i="5"/>
  <c r="L7" i="5"/>
  <c r="L6" i="5"/>
  <c r="L5" i="5"/>
  <c r="L8" i="5"/>
  <c r="Q22" i="1"/>
  <c r="W5" i="1"/>
  <c r="W22" i="1" s="1"/>
  <c r="W24" i="1" s="1"/>
  <c r="W25" i="1" s="1"/>
  <c r="L13" i="5"/>
  <c r="L4" i="5"/>
</calcChain>
</file>

<file path=xl/sharedStrings.xml><?xml version="1.0" encoding="utf-8"?>
<sst xmlns="http://schemas.openxmlformats.org/spreadsheetml/2006/main" count="196" uniqueCount="102">
  <si>
    <t>TRM - Préparation de la rentrée 2023</t>
  </si>
  <si>
    <t>Discipline</t>
  </si>
  <si>
    <t>Recapitulatif 2nde</t>
  </si>
  <si>
    <t>Recapitulatif 1ère</t>
  </si>
  <si>
    <t>Récapitulatif Tle</t>
  </si>
  <si>
    <t>UNSS</t>
  </si>
  <si>
    <t>Coordo Labos</t>
  </si>
  <si>
    <t>TICE</t>
  </si>
  <si>
    <t>Pondération</t>
  </si>
  <si>
    <t>SIC</t>
  </si>
  <si>
    <t>Autres</t>
  </si>
  <si>
    <t>Besoins</t>
  </si>
  <si>
    <t>Supports définitifs</t>
  </si>
  <si>
    <t>Apport initial</t>
  </si>
  <si>
    <t>Decharge ou TP 2023</t>
  </si>
  <si>
    <t>Apport</t>
  </si>
  <si>
    <t>Besoins heures</t>
  </si>
  <si>
    <t>Création poste</t>
  </si>
  <si>
    <t>Stagiaire</t>
  </si>
  <si>
    <t>BMP</t>
  </si>
  <si>
    <t>CSD</t>
  </si>
  <si>
    <t>CSR</t>
  </si>
  <si>
    <t>HSA</t>
  </si>
  <si>
    <t>IMP</t>
  </si>
  <si>
    <t>Philosophie</t>
  </si>
  <si>
    <t>Lettres</t>
  </si>
  <si>
    <t>Lettres modernes</t>
  </si>
  <si>
    <t>Lettres classiques</t>
  </si>
  <si>
    <t>Allemand</t>
  </si>
  <si>
    <t>Anglais</t>
  </si>
  <si>
    <t>Chinois</t>
  </si>
  <si>
    <t>Espagnol</t>
  </si>
  <si>
    <t>Italien</t>
  </si>
  <si>
    <t>Histoire/Géo</t>
  </si>
  <si>
    <t>Sciences économiques et sociales</t>
  </si>
  <si>
    <t>Mathématiques</t>
  </si>
  <si>
    <t>Sciences physiques et chimiques</t>
  </si>
  <si>
    <t>S.V.T</t>
  </si>
  <si>
    <t>E.P.S</t>
  </si>
  <si>
    <t>Marge</t>
  </si>
  <si>
    <t>Total</t>
  </si>
  <si>
    <t>Financement rectorat</t>
  </si>
  <si>
    <t>HP--&gt;</t>
  </si>
  <si>
    <t>Total HP</t>
  </si>
  <si>
    <t>Total HSA</t>
  </si>
  <si>
    <t>HSA --&gt;</t>
  </si>
  <si>
    <t>Différence financement - besoins</t>
  </si>
  <si>
    <t>IMP --&gt;</t>
  </si>
  <si>
    <t>Classe de 2nde générale</t>
  </si>
  <si>
    <t>Tronc commun</t>
  </si>
  <si>
    <t>Optionnel</t>
  </si>
  <si>
    <t>Horaire reglementaire</t>
  </si>
  <si>
    <t>AP</t>
  </si>
  <si>
    <t>AP PP</t>
  </si>
  <si>
    <t>SNT</t>
  </si>
  <si>
    <t>EMC</t>
  </si>
  <si>
    <t>Dedoublements</t>
  </si>
  <si>
    <t>Latin/Grec</t>
  </si>
  <si>
    <t>DNL/LV3</t>
  </si>
  <si>
    <t>Option</t>
  </si>
  <si>
    <t>Horaire  total</t>
  </si>
  <si>
    <t>LV1 - Anglais</t>
  </si>
  <si>
    <t>LV1 - Chinois</t>
  </si>
  <si>
    <t>LV2 - Anglais</t>
  </si>
  <si>
    <t>LV2 - Allemand</t>
  </si>
  <si>
    <t>LV2 - Espagnol</t>
  </si>
  <si>
    <t>LV2 - Italien</t>
  </si>
  <si>
    <t>LV2 - Chinois</t>
  </si>
  <si>
    <t>EPS</t>
  </si>
  <si>
    <t>Total par seconde</t>
  </si>
  <si>
    <t>Total 11 secondes</t>
  </si>
  <si>
    <t>Classe de 1ère générale</t>
  </si>
  <si>
    <t>Horaire Spécialités</t>
  </si>
  <si>
    <t xml:space="preserve"> Dedoublement Ens. Scientifique</t>
  </si>
  <si>
    <t>Dedoublement spécialité</t>
  </si>
  <si>
    <t>Nombre de groupes de spécialité</t>
  </si>
  <si>
    <t>Total par première</t>
  </si>
  <si>
    <t>Total 10 premières</t>
  </si>
  <si>
    <t>Classe de Terminale générale</t>
  </si>
  <si>
    <t>Ens. Scientifique</t>
  </si>
  <si>
    <t>Dedoublement specialite</t>
  </si>
  <si>
    <t>Maths comp</t>
  </si>
  <si>
    <t>Maths Exp</t>
  </si>
  <si>
    <t>DGEMC</t>
  </si>
  <si>
    <t>Total optionnel</t>
  </si>
  <si>
    <t>Total 9 terminales</t>
  </si>
  <si>
    <t>Total heure horaire officiel</t>
  </si>
  <si>
    <t>Groupes à effectif réduit</t>
  </si>
  <si>
    <t>Total heures globalisée</t>
  </si>
  <si>
    <t>Total heures par discipline</t>
  </si>
  <si>
    <t>%</t>
  </si>
  <si>
    <t>Dedoublement / Groupes langues</t>
  </si>
  <si>
    <t>DNL/ LV3</t>
  </si>
  <si>
    <t>Maths Comp/ Expertes</t>
  </si>
  <si>
    <t>SES</t>
  </si>
  <si>
    <t>Groupes spécialités supplémentaires</t>
  </si>
  <si>
    <t>Groupes LV supplémentaires</t>
  </si>
  <si>
    <t>Total 30 classes</t>
  </si>
  <si>
    <t>Financement Rectorat</t>
  </si>
  <si>
    <t>Initiale</t>
  </si>
  <si>
    <t>Modifiée</t>
  </si>
  <si>
    <t>Nombre de classes/groupes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</si>
</sst>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\ %"/>
    <numFmt numFmtId="166" formatCode="0.0%"/>
  </numFmts>
  <fonts count="32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</font>
    <font>
      <i/>
      <sz val="10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i/>
      <sz val="9"/>
      <color indexed="8"/>
      <name val="Arial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1"/>
      <color indexed="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45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4" fillId="0" borderId="0" applyFill="0" applyBorder="0" applyAlignment="0" applyProtection="0"/>
  </cellStyleXfs>
  <cellXfs count="19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8" fillId="4" borderId="2" xfId="0" applyFont="1" applyFill="1" applyBorder="1"/>
    <xf numFmtId="0" fontId="9" fillId="4" borderId="1" xfId="0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8" fillId="4" borderId="2" xfId="0" applyNumberFormat="1" applyFont="1" applyFill="1" applyBorder="1"/>
    <xf numFmtId="0" fontId="0" fillId="3" borderId="0" xfId="0" applyFill="1"/>
    <xf numFmtId="164" fontId="0" fillId="0" borderId="0" xfId="0" applyNumberFormat="1"/>
    <xf numFmtId="2" fontId="0" fillId="0" borderId="0" xfId="0" applyNumberFormat="1"/>
    <xf numFmtId="0" fontId="0" fillId="0" borderId="3" xfId="0" applyBorder="1"/>
    <xf numFmtId="0" fontId="6" fillId="2" borderId="3" xfId="0" applyFont="1" applyFill="1" applyBorder="1"/>
    <xf numFmtId="0" fontId="6" fillId="6" borderId="3" xfId="0" applyFont="1" applyFill="1" applyBorder="1"/>
    <xf numFmtId="0" fontId="6" fillId="2" borderId="4" xfId="0" applyFont="1" applyFill="1" applyBorder="1"/>
    <xf numFmtId="0" fontId="10" fillId="3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5" fillId="5" borderId="2" xfId="0" applyFont="1" applyFill="1" applyBorder="1" applyAlignment="1">
      <alignment wrapText="1"/>
    </xf>
    <xf numFmtId="0" fontId="15" fillId="5" borderId="1" xfId="0" applyFont="1" applyFill="1" applyBorder="1"/>
    <xf numFmtId="164" fontId="8" fillId="3" borderId="0" xfId="0" applyNumberFormat="1" applyFont="1" applyFill="1"/>
    <xf numFmtId="0" fontId="6" fillId="6" borderId="4" xfId="0" applyFont="1" applyFill="1" applyBorder="1"/>
    <xf numFmtId="0" fontId="13" fillId="4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5" fillId="5" borderId="2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7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/>
    </xf>
    <xf numFmtId="166" fontId="17" fillId="0" borderId="0" xfId="1" applyNumberFormat="1" applyFont="1" applyFill="1" applyBorder="1" applyAlignment="1" applyProtection="1">
      <alignment horizontal="center"/>
    </xf>
    <xf numFmtId="166" fontId="17" fillId="0" borderId="0" xfId="1" applyNumberFormat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20" fillId="0" borderId="0" xfId="0" applyFont="1" applyAlignment="1">
      <alignment horizontal="center"/>
    </xf>
    <xf numFmtId="166" fontId="20" fillId="0" borderId="0" xfId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/>
    </xf>
    <xf numFmtId="166" fontId="18" fillId="0" borderId="0" xfId="1" applyNumberFormat="1" applyFont="1" applyFill="1" applyBorder="1" applyAlignment="1" applyProtection="1">
      <alignment horizontal="center"/>
    </xf>
    <xf numFmtId="166" fontId="18" fillId="0" borderId="0" xfId="1" applyNumberFormat="1" applyFont="1" applyFill="1" applyBorder="1" applyAlignment="1" applyProtection="1"/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164" fontId="4" fillId="3" borderId="5" xfId="0" applyNumberFormat="1" applyFon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/>
    </xf>
    <xf numFmtId="0" fontId="8" fillId="9" borderId="2" xfId="0" applyFont="1" applyFill="1" applyBorder="1"/>
    <xf numFmtId="0" fontId="9" fillId="14" borderId="12" xfId="0" applyFont="1" applyFill="1" applyBorder="1" applyAlignment="1">
      <alignment horizontal="right"/>
    </xf>
    <xf numFmtId="0" fontId="18" fillId="4" borderId="12" xfId="0" applyFont="1" applyFill="1" applyBorder="1" applyAlignment="1">
      <alignment wrapText="1"/>
    </xf>
    <xf numFmtId="0" fontId="17" fillId="0" borderId="12" xfId="0" applyFont="1" applyBorder="1" applyAlignment="1">
      <alignment horizontal="center"/>
    </xf>
    <xf numFmtId="166" fontId="17" fillId="0" borderId="12" xfId="1" applyNumberFormat="1" applyFont="1" applyFill="1" applyBorder="1" applyAlignment="1" applyProtection="1">
      <alignment horizontal="center"/>
    </xf>
    <xf numFmtId="0" fontId="19" fillId="0" borderId="12" xfId="0" applyFont="1" applyBorder="1" applyAlignment="1">
      <alignment horizontal="center"/>
    </xf>
    <xf numFmtId="166" fontId="19" fillId="0" borderId="12" xfId="1" applyNumberFormat="1" applyFont="1" applyFill="1" applyBorder="1" applyAlignment="1" applyProtection="1">
      <alignment horizontal="center"/>
    </xf>
    <xf numFmtId="164" fontId="18" fillId="0" borderId="12" xfId="0" applyNumberFormat="1" applyFont="1" applyBorder="1" applyAlignment="1">
      <alignment horizontal="center"/>
    </xf>
    <xf numFmtId="166" fontId="17" fillId="0" borderId="12" xfId="1" applyNumberFormat="1" applyFont="1" applyFill="1" applyBorder="1" applyAlignment="1" applyProtection="1"/>
    <xf numFmtId="0" fontId="20" fillId="0" borderId="12" xfId="0" applyFont="1" applyBorder="1" applyAlignment="1">
      <alignment horizontal="center"/>
    </xf>
    <xf numFmtId="166" fontId="20" fillId="0" borderId="12" xfId="1" applyNumberFormat="1" applyFont="1" applyFill="1" applyBorder="1" applyAlignment="1" applyProtection="1">
      <alignment horizontal="center"/>
    </xf>
    <xf numFmtId="0" fontId="18" fillId="0" borderId="12" xfId="0" applyFont="1" applyBorder="1" applyAlignment="1">
      <alignment horizontal="center"/>
    </xf>
    <xf numFmtId="166" fontId="18" fillId="0" borderId="12" xfId="1" applyNumberFormat="1" applyFont="1" applyFill="1" applyBorder="1" applyAlignment="1" applyProtection="1">
      <alignment horizontal="center"/>
    </xf>
    <xf numFmtId="0" fontId="21" fillId="4" borderId="12" xfId="0" applyFont="1" applyFill="1" applyBorder="1" applyAlignment="1">
      <alignment wrapText="1"/>
    </xf>
    <xf numFmtId="0" fontId="21" fillId="0" borderId="12" xfId="0" applyFont="1" applyBorder="1" applyAlignment="1">
      <alignment horizontal="center"/>
    </xf>
    <xf numFmtId="164" fontId="17" fillId="0" borderId="12" xfId="1" applyNumberFormat="1" applyFont="1" applyFill="1" applyBorder="1" applyAlignment="1" applyProtection="1"/>
    <xf numFmtId="0" fontId="18" fillId="0" borderId="12" xfId="0" applyFont="1" applyBorder="1" applyAlignment="1">
      <alignment wrapText="1"/>
    </xf>
    <xf numFmtId="166" fontId="18" fillId="0" borderId="12" xfId="1" applyNumberFormat="1" applyFont="1" applyFill="1" applyBorder="1" applyAlignment="1" applyProtection="1"/>
    <xf numFmtId="0" fontId="7" fillId="0" borderId="12" xfId="0" applyFont="1" applyBorder="1" applyAlignment="1">
      <alignment horizontal="center"/>
    </xf>
    <xf numFmtId="166" fontId="7" fillId="0" borderId="12" xfId="1" applyNumberFormat="1" applyFont="1" applyFill="1" applyBorder="1" applyAlignment="1" applyProtection="1">
      <alignment horizontal="center"/>
    </xf>
    <xf numFmtId="0" fontId="25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1" fontId="29" fillId="0" borderId="7" xfId="0" applyNumberFormat="1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27" fillId="12" borderId="1" xfId="0" applyFont="1" applyFill="1" applyBorder="1" applyAlignment="1">
      <alignment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vertical="center"/>
    </xf>
    <xf numFmtId="1" fontId="29" fillId="12" borderId="1" xfId="0" applyNumberFormat="1" applyFont="1" applyFill="1" applyBorder="1" applyAlignment="1">
      <alignment horizontal="center" vertical="center"/>
    </xf>
    <xf numFmtId="164" fontId="29" fillId="12" borderId="1" xfId="0" applyNumberFormat="1" applyFont="1" applyFill="1" applyBorder="1" applyAlignment="1">
      <alignment horizontal="center" vertical="center"/>
    </xf>
    <xf numFmtId="2" fontId="29" fillId="12" borderId="1" xfId="0" applyNumberFormat="1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/>
    </xf>
    <xf numFmtId="0" fontId="30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12" borderId="1" xfId="0" applyFont="1" applyFill="1" applyBorder="1" applyAlignment="1">
      <alignment vertical="center" wrapText="1"/>
    </xf>
    <xf numFmtId="0" fontId="30" fillId="12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/>
    </xf>
    <xf numFmtId="2" fontId="27" fillId="12" borderId="5" xfId="0" applyNumberFormat="1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2" fontId="27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64" fontId="29" fillId="3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right"/>
    </xf>
    <xf numFmtId="164" fontId="27" fillId="9" borderId="2" xfId="0" applyNumberFormat="1" applyFont="1" applyFill="1" applyBorder="1" applyAlignment="1">
      <alignment horizontal="right"/>
    </xf>
    <xf numFmtId="0" fontId="27" fillId="14" borderId="12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0" fillId="14" borderId="12" xfId="0" applyFill="1" applyBorder="1"/>
    <xf numFmtId="0" fontId="1" fillId="2" borderId="1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6" fillId="6" borderId="4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166" fontId="18" fillId="7" borderId="0" xfId="1" applyNumberFormat="1" applyFont="1" applyFill="1" applyBorder="1" applyAlignment="1" applyProtection="1">
      <alignment horizontal="center" wrapText="1"/>
    </xf>
    <xf numFmtId="166" fontId="18" fillId="0" borderId="0" xfId="1" applyNumberFormat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 wrapText="1"/>
    </xf>
    <xf numFmtId="0" fontId="18" fillId="7" borderId="0" xfId="0" applyFont="1" applyFill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B33-9A88-4089-9B46-D9EA12AB08E3}">
  <sheetPr>
    <pageSetUpPr fitToPage="1"/>
  </sheetPr>
  <dimension ref="A1:AB30"/>
  <sheetViews>
    <sheetView zoomScale="60" zoomScaleNormal="60" workbookViewId="0">
      <selection activeCell="B6" sqref="B6"/>
    </sheetView>
  </sheetViews>
  <sheetFormatPr baseColWidth="10" defaultColWidth="11" defaultRowHeight="14.5" x14ac:dyDescent="0.35"/>
  <cols>
    <col min="1" max="1" width="33" customWidth="1"/>
    <col min="2" max="4" width="13.81640625" bestFit="1" customWidth="1"/>
    <col min="5" max="5" width="8.08984375" customWidth="1"/>
    <col min="6" max="6" width="9.7265625" customWidth="1"/>
    <col min="7" max="7" width="6" customWidth="1"/>
    <col min="8" max="8" width="7.08984375" customWidth="1"/>
    <col min="9" max="10" width="8" bestFit="1" customWidth="1"/>
    <col min="11" max="11" width="9.7265625" customWidth="1"/>
    <col min="12" max="12" width="8.36328125" customWidth="1"/>
    <col min="13" max="13" width="10.08984375" customWidth="1"/>
    <col min="14" max="14" width="8.81640625" customWidth="1"/>
    <col min="15" max="15" width="12.08984375" customWidth="1"/>
    <col min="16" max="16" width="9.7265625" customWidth="1"/>
    <col min="17" max="17" width="8.81640625" customWidth="1"/>
    <col min="18" max="18" width="9.81640625" bestFit="1" customWidth="1"/>
    <col min="19" max="19" width="10.08984375" customWidth="1"/>
    <col min="20" max="20" width="9.36328125" customWidth="1"/>
    <col min="21" max="21" width="5.36328125" customWidth="1"/>
    <col min="22" max="22" width="11.08984375" customWidth="1"/>
    <col min="23" max="23" width="7.26953125" customWidth="1"/>
    <col min="24" max="24" width="7.7265625" customWidth="1"/>
  </cols>
  <sheetData>
    <row r="1" spans="1:24" x14ac:dyDescent="0.35">
      <c r="A1" s="1"/>
      <c r="B1" s="179"/>
      <c r="C1" s="179"/>
      <c r="D1" s="179"/>
      <c r="E1" s="179"/>
      <c r="F1" s="179"/>
      <c r="G1" s="179"/>
      <c r="H1" s="179"/>
      <c r="I1" s="179"/>
      <c r="J1" s="179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customHeight="1" x14ac:dyDescent="0.35">
      <c r="A2" s="103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4" spans="1:24" ht="28" x14ac:dyDescent="0.35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4" t="s">
        <v>7</v>
      </c>
      <c r="H4" s="104" t="s">
        <v>8</v>
      </c>
      <c r="I4" s="104" t="s">
        <v>9</v>
      </c>
      <c r="J4" s="104" t="s">
        <v>10</v>
      </c>
      <c r="K4" s="104" t="s">
        <v>11</v>
      </c>
      <c r="L4" s="105"/>
      <c r="M4" s="106" t="s">
        <v>12</v>
      </c>
      <c r="N4" s="106" t="s">
        <v>13</v>
      </c>
      <c r="O4" s="106" t="s">
        <v>14</v>
      </c>
      <c r="P4" s="106" t="s">
        <v>15</v>
      </c>
      <c r="Q4" s="106" t="s">
        <v>16</v>
      </c>
      <c r="R4" s="107" t="s">
        <v>17</v>
      </c>
      <c r="S4" s="108" t="s">
        <v>18</v>
      </c>
      <c r="T4" s="109" t="s">
        <v>19</v>
      </c>
      <c r="U4" s="110" t="s">
        <v>20</v>
      </c>
      <c r="V4" s="110" t="s">
        <v>21</v>
      </c>
      <c r="W4" s="110" t="s">
        <v>22</v>
      </c>
      <c r="X4" s="111" t="s">
        <v>23</v>
      </c>
    </row>
    <row r="5" spans="1:24" ht="40" customHeight="1" x14ac:dyDescent="0.35">
      <c r="A5" s="112" t="s">
        <v>24</v>
      </c>
      <c r="B5" s="113">
        <f>'2nde'!M6</f>
        <v>0</v>
      </c>
      <c r="C5" s="113">
        <f>'1ère'!O6</f>
        <v>4.5</v>
      </c>
      <c r="D5" s="114">
        <f>Term!Q6</f>
        <v>46.5</v>
      </c>
      <c r="E5" s="115"/>
      <c r="F5" s="116"/>
      <c r="G5" s="115"/>
      <c r="H5" s="113">
        <v>3</v>
      </c>
      <c r="I5" s="117"/>
      <c r="J5" s="115"/>
      <c r="K5" s="114">
        <f>SUM(B5:J5)</f>
        <v>54</v>
      </c>
      <c r="L5" s="118"/>
      <c r="M5" s="113">
        <v>3</v>
      </c>
      <c r="N5" s="114">
        <v>51</v>
      </c>
      <c r="O5" s="113"/>
      <c r="P5" s="117">
        <f>N5-O5</f>
        <v>51</v>
      </c>
      <c r="Q5" s="114">
        <f>K5-P5</f>
        <v>3</v>
      </c>
      <c r="R5" s="119"/>
      <c r="S5" s="120"/>
      <c r="T5" s="120"/>
      <c r="U5" s="120"/>
      <c r="V5" s="120"/>
      <c r="W5" s="121">
        <f>Q5-S5-T5+V5+U5</f>
        <v>3</v>
      </c>
      <c r="X5" s="122"/>
    </row>
    <row r="6" spans="1:24" ht="35.15" customHeight="1" x14ac:dyDescent="0.35">
      <c r="A6" s="123" t="s">
        <v>25</v>
      </c>
      <c r="B6" s="124">
        <f>'2nde'!M7</f>
        <v>64</v>
      </c>
      <c r="C6" s="124">
        <f>'1ère'!O7</f>
        <v>55</v>
      </c>
      <c r="D6" s="125">
        <f>Term!Q7</f>
        <v>9</v>
      </c>
      <c r="E6" s="126"/>
      <c r="F6" s="126"/>
      <c r="G6" s="126"/>
      <c r="H6" s="125">
        <v>5.8</v>
      </c>
      <c r="I6" s="125"/>
      <c r="J6" s="125"/>
      <c r="K6" s="125">
        <f>SUM(B6:J6)</f>
        <v>133.80000000000001</v>
      </c>
      <c r="L6" s="118"/>
      <c r="M6" s="125">
        <v>8</v>
      </c>
      <c r="N6" s="125">
        <v>126</v>
      </c>
      <c r="O6" s="125">
        <v>6</v>
      </c>
      <c r="P6" s="125">
        <f>N6-O6</f>
        <v>120</v>
      </c>
      <c r="Q6" s="125">
        <f>K6-P6</f>
        <v>13.800000000000011</v>
      </c>
      <c r="R6" s="125"/>
      <c r="S6" s="127"/>
      <c r="T6" s="127">
        <v>6</v>
      </c>
      <c r="U6" s="128"/>
      <c r="V6" s="128"/>
      <c r="W6" s="129">
        <f>Q6-S6-T6-V6+U6</f>
        <v>7.8000000000000114</v>
      </c>
      <c r="X6" s="130"/>
    </row>
    <row r="7" spans="1:24" ht="35.15" customHeight="1" x14ac:dyDescent="0.35">
      <c r="A7" s="131" t="s">
        <v>26</v>
      </c>
      <c r="B7" s="132"/>
      <c r="C7" s="132"/>
      <c r="D7" s="133"/>
      <c r="E7" s="134"/>
      <c r="F7" s="134"/>
      <c r="G7" s="134"/>
      <c r="H7" s="133"/>
      <c r="I7" s="133"/>
      <c r="J7" s="133"/>
      <c r="K7" s="133"/>
      <c r="L7" s="118"/>
      <c r="M7" s="135">
        <v>3</v>
      </c>
      <c r="N7" s="135">
        <v>45</v>
      </c>
      <c r="O7" s="133"/>
      <c r="P7" s="133"/>
      <c r="Q7" s="133"/>
      <c r="R7" s="133"/>
      <c r="S7" s="136"/>
      <c r="T7" s="136"/>
      <c r="U7" s="137"/>
      <c r="V7" s="137"/>
      <c r="W7" s="138"/>
      <c r="X7" s="139"/>
    </row>
    <row r="8" spans="1:24" ht="35.15" customHeight="1" x14ac:dyDescent="0.35">
      <c r="A8" s="140" t="s">
        <v>27</v>
      </c>
      <c r="B8" s="124"/>
      <c r="C8" s="124"/>
      <c r="D8" s="125"/>
      <c r="E8" s="126"/>
      <c r="F8" s="126"/>
      <c r="G8" s="126"/>
      <c r="H8" s="125"/>
      <c r="I8" s="125"/>
      <c r="J8" s="125"/>
      <c r="K8" s="125"/>
      <c r="L8" s="118"/>
      <c r="M8" s="141">
        <v>5</v>
      </c>
      <c r="N8" s="141">
        <v>81</v>
      </c>
      <c r="O8" s="125"/>
      <c r="P8" s="125"/>
      <c r="Q8" s="125"/>
      <c r="R8" s="125"/>
      <c r="S8" s="127"/>
      <c r="T8" s="127"/>
      <c r="U8" s="128"/>
      <c r="V8" s="128"/>
      <c r="W8" s="129"/>
      <c r="X8" s="130"/>
    </row>
    <row r="9" spans="1:24" ht="35.15" customHeight="1" x14ac:dyDescent="0.35">
      <c r="A9" s="112" t="s">
        <v>28</v>
      </c>
      <c r="B9" s="113">
        <f>'2nde'!M11</f>
        <v>6</v>
      </c>
      <c r="C9" s="113">
        <f>'1ère'!O11</f>
        <v>4.5</v>
      </c>
      <c r="D9" s="114">
        <f>Term!Q11</f>
        <v>4.5</v>
      </c>
      <c r="E9" s="142"/>
      <c r="F9" s="142"/>
      <c r="G9" s="142"/>
      <c r="H9" s="143">
        <v>0.9</v>
      </c>
      <c r="I9" s="143"/>
      <c r="J9" s="143"/>
      <c r="K9" s="114">
        <f t="shared" ref="K9:K19" si="0">SUM(B9:J9)</f>
        <v>15.9</v>
      </c>
      <c r="L9" s="118"/>
      <c r="M9" s="143">
        <v>1</v>
      </c>
      <c r="N9" s="143">
        <v>18</v>
      </c>
      <c r="O9" s="143">
        <v>1.8</v>
      </c>
      <c r="P9" s="117">
        <f t="shared" ref="P9:P19" si="1">N9-O9</f>
        <v>16.2</v>
      </c>
      <c r="Q9" s="114">
        <f t="shared" ref="Q9:Q19" si="2">K9-P9</f>
        <v>-0.29999999999999893</v>
      </c>
      <c r="R9" s="114"/>
      <c r="S9" s="136"/>
      <c r="T9" s="136"/>
      <c r="U9" s="137"/>
      <c r="V9" s="137"/>
      <c r="W9" s="144">
        <f>Q9-R9-S9-T9-V9+U9</f>
        <v>-0.29999999999999893</v>
      </c>
      <c r="X9" s="139"/>
    </row>
    <row r="10" spans="1:24" ht="35.15" customHeight="1" x14ac:dyDescent="0.35">
      <c r="A10" s="123" t="s">
        <v>29</v>
      </c>
      <c r="B10" s="124">
        <f>'2nde'!M8+'2nde'!M10</f>
        <v>49</v>
      </c>
      <c r="C10" s="124">
        <f>'1ère'!O8+'1ère'!O10</f>
        <v>49</v>
      </c>
      <c r="D10" s="145">
        <f>Term!Q8+Term!Q10</f>
        <v>36.5</v>
      </c>
      <c r="E10" s="146"/>
      <c r="F10" s="147"/>
      <c r="G10" s="146"/>
      <c r="H10" s="147">
        <v>7.4</v>
      </c>
      <c r="I10" s="147"/>
      <c r="J10" s="146"/>
      <c r="K10" s="125">
        <f t="shared" si="0"/>
        <v>141.9</v>
      </c>
      <c r="L10" s="118"/>
      <c r="M10" s="146">
        <v>8</v>
      </c>
      <c r="N10" s="146">
        <v>135</v>
      </c>
      <c r="O10" s="147">
        <v>10</v>
      </c>
      <c r="P10" s="125">
        <f t="shared" si="1"/>
        <v>125</v>
      </c>
      <c r="Q10" s="125">
        <f t="shared" si="2"/>
        <v>16.900000000000006</v>
      </c>
      <c r="R10" s="125"/>
      <c r="S10" s="127"/>
      <c r="T10" s="127">
        <v>9</v>
      </c>
      <c r="U10" s="128"/>
      <c r="V10" s="128"/>
      <c r="W10" s="129">
        <f>Q10-S10-T10-V10+U10</f>
        <v>7.9000000000000057</v>
      </c>
      <c r="X10" s="130"/>
    </row>
    <row r="11" spans="1:24" ht="35.15" customHeight="1" x14ac:dyDescent="0.35">
      <c r="A11" s="112" t="s">
        <v>30</v>
      </c>
      <c r="B11" s="113">
        <f>'2nde'!M14</f>
        <v>9</v>
      </c>
      <c r="C11" s="113">
        <f>'1ère'!O14</f>
        <v>8.5</v>
      </c>
      <c r="D11" s="114">
        <f>Term!Q14</f>
        <v>8.5</v>
      </c>
      <c r="E11" s="143"/>
      <c r="F11" s="148"/>
      <c r="G11" s="143"/>
      <c r="H11" s="148">
        <v>2.4500000000000002</v>
      </c>
      <c r="I11" s="149">
        <f>'2nde'!K9+'1ère'!M9+Term!L9</f>
        <v>15.5</v>
      </c>
      <c r="J11" s="143"/>
      <c r="K11" s="114">
        <f t="shared" si="0"/>
        <v>43.95</v>
      </c>
      <c r="L11" s="118"/>
      <c r="M11" s="143">
        <v>2</v>
      </c>
      <c r="N11" s="143">
        <v>33</v>
      </c>
      <c r="O11" s="148"/>
      <c r="P11" s="117">
        <f t="shared" si="1"/>
        <v>33</v>
      </c>
      <c r="Q11" s="114">
        <f t="shared" si="2"/>
        <v>10.950000000000003</v>
      </c>
      <c r="R11" s="114"/>
      <c r="S11" s="136"/>
      <c r="T11" s="136">
        <v>17.8</v>
      </c>
      <c r="U11" s="137">
        <v>11</v>
      </c>
      <c r="V11" s="137"/>
      <c r="W11" s="144">
        <f>Q11-S11-T11-V11+U11</f>
        <v>4.1500000000000021</v>
      </c>
      <c r="X11" s="139"/>
    </row>
    <row r="12" spans="1:24" ht="35.15" customHeight="1" x14ac:dyDescent="0.35">
      <c r="A12" s="123" t="s">
        <v>31</v>
      </c>
      <c r="B12" s="124">
        <f>'2nde'!M12</f>
        <v>25</v>
      </c>
      <c r="C12" s="124">
        <f>'1ère'!O12</f>
        <v>18.5</v>
      </c>
      <c r="D12" s="125">
        <f>Term!Q12</f>
        <v>16.5</v>
      </c>
      <c r="E12" s="146"/>
      <c r="F12" s="147"/>
      <c r="G12" s="146"/>
      <c r="H12" s="147">
        <v>3.1</v>
      </c>
      <c r="I12" s="147"/>
      <c r="J12" s="146"/>
      <c r="K12" s="125">
        <f t="shared" si="0"/>
        <v>63.1</v>
      </c>
      <c r="L12" s="118"/>
      <c r="M12" s="146">
        <v>3</v>
      </c>
      <c r="N12" s="146">
        <v>51</v>
      </c>
      <c r="O12" s="147">
        <v>12</v>
      </c>
      <c r="P12" s="125">
        <f t="shared" si="1"/>
        <v>39</v>
      </c>
      <c r="Q12" s="125">
        <f t="shared" si="2"/>
        <v>24.1</v>
      </c>
      <c r="R12" s="125"/>
      <c r="S12" s="127"/>
      <c r="T12" s="127">
        <v>18</v>
      </c>
      <c r="U12" s="128"/>
      <c r="V12" s="128"/>
      <c r="W12" s="129">
        <f>Q12-S12-T12-V12+U12</f>
        <v>6.1000000000000014</v>
      </c>
      <c r="X12" s="130"/>
    </row>
    <row r="13" spans="1:24" ht="35.15" customHeight="1" x14ac:dyDescent="0.35">
      <c r="A13" s="112" t="s">
        <v>32</v>
      </c>
      <c r="B13" s="113">
        <f>'2nde'!M13</f>
        <v>5</v>
      </c>
      <c r="C13" s="113">
        <f>'1ère'!O13</f>
        <v>4</v>
      </c>
      <c r="D13" s="114">
        <f>Term!Q13</f>
        <v>2</v>
      </c>
      <c r="E13" s="143"/>
      <c r="F13" s="148"/>
      <c r="G13" s="143"/>
      <c r="H13" s="148">
        <v>0.6</v>
      </c>
      <c r="I13" s="148"/>
      <c r="J13" s="143"/>
      <c r="K13" s="114">
        <f t="shared" si="0"/>
        <v>11.6</v>
      </c>
      <c r="L13" s="118"/>
      <c r="M13" s="143">
        <v>0</v>
      </c>
      <c r="N13" s="143">
        <v>0</v>
      </c>
      <c r="O13" s="148"/>
      <c r="P13" s="117">
        <f t="shared" si="1"/>
        <v>0</v>
      </c>
      <c r="Q13" s="114">
        <f t="shared" si="2"/>
        <v>11.6</v>
      </c>
      <c r="R13" s="114"/>
      <c r="S13" s="136"/>
      <c r="T13" s="136"/>
      <c r="U13" s="137"/>
      <c r="V13" s="137">
        <v>10.5</v>
      </c>
      <c r="W13" s="144">
        <f>Q13-S13-T13-V13+U13</f>
        <v>1.0999999999999996</v>
      </c>
      <c r="X13" s="139"/>
    </row>
    <row r="14" spans="1:24" ht="35.15" customHeight="1" x14ac:dyDescent="0.35">
      <c r="A14" s="123" t="s">
        <v>33</v>
      </c>
      <c r="B14" s="124">
        <f>'2nde'!M15</f>
        <v>41</v>
      </c>
      <c r="C14" s="147">
        <f>'1ère'!O15</f>
        <v>55</v>
      </c>
      <c r="D14" s="147">
        <f>Term!Q15</f>
        <v>62</v>
      </c>
      <c r="E14" s="146"/>
      <c r="F14" s="147"/>
      <c r="G14" s="146"/>
      <c r="H14" s="147">
        <v>9.3000000000000007</v>
      </c>
      <c r="I14" s="147"/>
      <c r="J14" s="146"/>
      <c r="K14" s="125">
        <f t="shared" si="0"/>
        <v>167.3</v>
      </c>
      <c r="L14" s="118"/>
      <c r="M14" s="146">
        <v>9</v>
      </c>
      <c r="N14" s="146">
        <v>147</v>
      </c>
      <c r="O14" s="147"/>
      <c r="P14" s="125">
        <f t="shared" si="1"/>
        <v>147</v>
      </c>
      <c r="Q14" s="125">
        <f t="shared" si="2"/>
        <v>20.300000000000011</v>
      </c>
      <c r="R14" s="125"/>
      <c r="S14" s="127"/>
      <c r="T14" s="127">
        <v>9</v>
      </c>
      <c r="U14" s="128">
        <v>9</v>
      </c>
      <c r="V14" s="128"/>
      <c r="W14" s="129">
        <f>Q14-R14-S14-T14-V14+U14</f>
        <v>20.300000000000011</v>
      </c>
      <c r="X14" s="130"/>
    </row>
    <row r="15" spans="1:24" ht="35.15" customHeight="1" x14ac:dyDescent="0.35">
      <c r="A15" s="112" t="s">
        <v>34</v>
      </c>
      <c r="B15" s="113">
        <f>'2nde'!M16</f>
        <v>16.5</v>
      </c>
      <c r="C15" s="113">
        <f>'1ère'!O16</f>
        <v>23</v>
      </c>
      <c r="D15" s="143">
        <f>Term!Q16</f>
        <v>24.5</v>
      </c>
      <c r="E15" s="143"/>
      <c r="F15" s="148"/>
      <c r="G15" s="143"/>
      <c r="H15" s="148">
        <v>4</v>
      </c>
      <c r="I15" s="148"/>
      <c r="J15" s="143"/>
      <c r="K15" s="114">
        <f t="shared" si="0"/>
        <v>68</v>
      </c>
      <c r="L15" s="118"/>
      <c r="M15" s="143">
        <v>4</v>
      </c>
      <c r="N15" s="143">
        <f>15*3+18</f>
        <v>63</v>
      </c>
      <c r="O15" s="148">
        <v>5</v>
      </c>
      <c r="P15" s="117">
        <f t="shared" si="1"/>
        <v>58</v>
      </c>
      <c r="Q15" s="114">
        <f t="shared" si="2"/>
        <v>10</v>
      </c>
      <c r="R15" s="150"/>
      <c r="S15" s="136"/>
      <c r="T15" s="136">
        <v>5</v>
      </c>
      <c r="U15" s="137"/>
      <c r="V15" s="137"/>
      <c r="W15" s="144">
        <f>Q15-R15-S15-T15-V15+U15</f>
        <v>5</v>
      </c>
      <c r="X15" s="139"/>
    </row>
    <row r="16" spans="1:24" ht="35.15" customHeight="1" x14ac:dyDescent="0.35">
      <c r="A16" s="123" t="s">
        <v>35</v>
      </c>
      <c r="B16" s="124">
        <f>'2nde'!M17</f>
        <v>82</v>
      </c>
      <c r="C16" s="124">
        <f>'1ère'!O17</f>
        <v>42.5</v>
      </c>
      <c r="D16" s="146">
        <f>Term!Q17</f>
        <v>44.5</v>
      </c>
      <c r="E16" s="146"/>
      <c r="F16" s="147"/>
      <c r="G16" s="146"/>
      <c r="H16" s="147">
        <v>8.6</v>
      </c>
      <c r="I16" s="147"/>
      <c r="J16" s="146"/>
      <c r="K16" s="125">
        <f t="shared" si="0"/>
        <v>177.6</v>
      </c>
      <c r="L16" s="118"/>
      <c r="M16" s="146">
        <v>10</v>
      </c>
      <c r="N16" s="146">
        <v>141</v>
      </c>
      <c r="O16" s="147">
        <v>11</v>
      </c>
      <c r="P16" s="125">
        <f t="shared" si="1"/>
        <v>130</v>
      </c>
      <c r="Q16" s="125">
        <f t="shared" si="2"/>
        <v>47.599999999999994</v>
      </c>
      <c r="R16" s="125"/>
      <c r="S16" s="127"/>
      <c r="T16" s="127">
        <v>18</v>
      </c>
      <c r="U16" s="128"/>
      <c r="V16" s="128">
        <v>8</v>
      </c>
      <c r="W16" s="129">
        <f>Q16-R16-S16-T16-V16+U16</f>
        <v>21.599999999999994</v>
      </c>
      <c r="X16" s="130"/>
    </row>
    <row r="17" spans="1:28" ht="35.15" customHeight="1" x14ac:dyDescent="0.35">
      <c r="A17" s="112" t="s">
        <v>36</v>
      </c>
      <c r="B17" s="113">
        <f>'2nde'!M18</f>
        <v>53</v>
      </c>
      <c r="C17" s="113">
        <f>'1ère'!O18</f>
        <v>39</v>
      </c>
      <c r="D17" s="143">
        <f>Term!Q18</f>
        <v>37.5</v>
      </c>
      <c r="E17" s="143"/>
      <c r="F17" s="148"/>
      <c r="G17" s="143">
        <v>0</v>
      </c>
      <c r="H17" s="148">
        <v>6.95</v>
      </c>
      <c r="I17" s="148"/>
      <c r="J17" s="143"/>
      <c r="K17" s="114">
        <f t="shared" si="0"/>
        <v>136.44999999999999</v>
      </c>
      <c r="L17" s="118"/>
      <c r="M17" s="143">
        <v>7</v>
      </c>
      <c r="N17" s="143">
        <v>117</v>
      </c>
      <c r="O17" s="148">
        <v>12</v>
      </c>
      <c r="P17" s="117">
        <f t="shared" si="1"/>
        <v>105</v>
      </c>
      <c r="Q17" s="114">
        <f t="shared" si="2"/>
        <v>31.449999999999989</v>
      </c>
      <c r="R17" s="114"/>
      <c r="S17" s="136"/>
      <c r="T17" s="136">
        <v>18</v>
      </c>
      <c r="U17" s="137"/>
      <c r="V17" s="137"/>
      <c r="W17" s="144">
        <f>Q17-R17-S17-T17-V17+U17</f>
        <v>13.449999999999989</v>
      </c>
      <c r="X17" s="139">
        <v>1</v>
      </c>
    </row>
    <row r="18" spans="1:28" ht="35.15" customHeight="1" x14ac:dyDescent="0.35">
      <c r="A18" s="123" t="s">
        <v>37</v>
      </c>
      <c r="B18" s="124">
        <f>'2nde'!M19</f>
        <v>33.5</v>
      </c>
      <c r="C18" s="124">
        <f>'1ère'!O19</f>
        <v>33.5</v>
      </c>
      <c r="D18" s="146">
        <f>Term!Q19</f>
        <v>30</v>
      </c>
      <c r="E18" s="146"/>
      <c r="F18" s="147"/>
      <c r="G18" s="146"/>
      <c r="H18" s="147">
        <v>5.9</v>
      </c>
      <c r="I18" s="147"/>
      <c r="J18" s="146"/>
      <c r="K18" s="145">
        <f t="shared" si="0"/>
        <v>102.9</v>
      </c>
      <c r="L18" s="118"/>
      <c r="M18" s="146">
        <v>6</v>
      </c>
      <c r="N18" s="146">
        <v>96</v>
      </c>
      <c r="O18" s="147">
        <v>3</v>
      </c>
      <c r="P18" s="125">
        <f t="shared" si="1"/>
        <v>93</v>
      </c>
      <c r="Q18" s="125">
        <f t="shared" si="2"/>
        <v>9.9000000000000057</v>
      </c>
      <c r="R18" s="151"/>
      <c r="S18" s="127"/>
      <c r="T18" s="127"/>
      <c r="U18" s="128"/>
      <c r="V18" s="128"/>
      <c r="W18" s="129">
        <f>Q18-S18-T18-V18+U18</f>
        <v>9.9000000000000057</v>
      </c>
      <c r="X18" s="127">
        <v>2</v>
      </c>
    </row>
    <row r="19" spans="1:28" ht="35.15" customHeight="1" x14ac:dyDescent="0.35">
      <c r="A19" s="112" t="s">
        <v>38</v>
      </c>
      <c r="B19" s="113">
        <f>'2nde'!M20</f>
        <v>22</v>
      </c>
      <c r="C19" s="113">
        <f>'1ère'!O20</f>
        <v>22</v>
      </c>
      <c r="D19" s="143">
        <f>Term!Q20</f>
        <v>18</v>
      </c>
      <c r="E19" s="143">
        <v>12</v>
      </c>
      <c r="F19" s="148"/>
      <c r="G19" s="143"/>
      <c r="H19" s="148">
        <v>0</v>
      </c>
      <c r="I19" s="148"/>
      <c r="J19" s="143"/>
      <c r="K19" s="114">
        <f t="shared" si="0"/>
        <v>74</v>
      </c>
      <c r="L19" s="152"/>
      <c r="M19" s="143">
        <v>5</v>
      </c>
      <c r="N19" s="143">
        <v>77</v>
      </c>
      <c r="O19" s="148"/>
      <c r="P19" s="114">
        <f t="shared" si="1"/>
        <v>77</v>
      </c>
      <c r="Q19" s="114">
        <f t="shared" si="2"/>
        <v>-3</v>
      </c>
      <c r="R19" s="114"/>
      <c r="S19" s="153"/>
      <c r="T19" s="153"/>
      <c r="U19" s="154">
        <v>7</v>
      </c>
      <c r="V19" s="154"/>
      <c r="W19" s="144">
        <f>Q19-S19-T19-V19+U19</f>
        <v>4</v>
      </c>
      <c r="X19" s="153">
        <v>1</v>
      </c>
    </row>
    <row r="20" spans="1:28" ht="35.15" customHeight="1" x14ac:dyDescent="0.35">
      <c r="A20" s="155" t="s">
        <v>39</v>
      </c>
      <c r="B20" s="132"/>
      <c r="C20" s="132"/>
      <c r="D20" s="156"/>
      <c r="E20" s="157"/>
      <c r="F20" s="158"/>
      <c r="G20" s="157"/>
      <c r="H20" s="156"/>
      <c r="I20" s="156"/>
      <c r="J20" s="158"/>
      <c r="K20" s="156"/>
      <c r="L20" s="118"/>
      <c r="M20" s="156"/>
      <c r="N20" s="156"/>
      <c r="O20" s="156"/>
      <c r="P20" s="156"/>
      <c r="Q20" s="156"/>
      <c r="R20" s="156"/>
      <c r="S20" s="136"/>
      <c r="T20" s="136"/>
      <c r="U20" s="137"/>
      <c r="V20" s="137"/>
      <c r="W20" s="159">
        <v>0</v>
      </c>
      <c r="X20" s="122"/>
    </row>
    <row r="21" spans="1:28" x14ac:dyDescent="0.35">
      <c r="D21" s="16"/>
    </row>
    <row r="22" spans="1:28" ht="35.15" customHeight="1" x14ac:dyDescent="0.35">
      <c r="A22" s="160" t="s">
        <v>40</v>
      </c>
      <c r="B22" s="161">
        <f>SUM(B5:B19)</f>
        <v>406</v>
      </c>
      <c r="C22" s="162">
        <f>SUM(C5:C19)</f>
        <v>359</v>
      </c>
      <c r="D22" s="163">
        <f>SUM(D5:D19)</f>
        <v>340</v>
      </c>
      <c r="E22" s="164">
        <f>SUM(E5:E19)</f>
        <v>12</v>
      </c>
      <c r="F22" s="164">
        <f>SUM(F5:F19)</f>
        <v>0</v>
      </c>
      <c r="G22" s="164">
        <v>0</v>
      </c>
      <c r="H22" s="163">
        <f>SUM(H5:H19)</f>
        <v>58.000000000000007</v>
      </c>
      <c r="I22" s="163">
        <f>SUM(I5:I19)</f>
        <v>15.5</v>
      </c>
      <c r="J22" s="164">
        <f>SUM(J5:J19)</f>
        <v>0</v>
      </c>
      <c r="K22" s="162">
        <f>SUM(K5:K20)</f>
        <v>1190.5000000000002</v>
      </c>
      <c r="L22" s="165"/>
      <c r="M22" s="166">
        <f>SUM(M5:M19)</f>
        <v>74</v>
      </c>
      <c r="N22" s="166">
        <f>SUM(N9:N19)+N5+N6</f>
        <v>1055</v>
      </c>
      <c r="O22" s="166">
        <f t="shared" ref="O22:V22" si="3">SUM(O5:O19)</f>
        <v>60.8</v>
      </c>
      <c r="P22" s="166">
        <f t="shared" si="3"/>
        <v>994.2</v>
      </c>
      <c r="Q22" s="166">
        <f t="shared" si="3"/>
        <v>196.3</v>
      </c>
      <c r="R22" s="166">
        <f t="shared" si="3"/>
        <v>0</v>
      </c>
      <c r="S22" s="167">
        <f t="shared" si="3"/>
        <v>0</v>
      </c>
      <c r="T22" s="167">
        <f t="shared" si="3"/>
        <v>100.8</v>
      </c>
      <c r="U22" s="167">
        <f t="shared" si="3"/>
        <v>27</v>
      </c>
      <c r="V22" s="167">
        <f t="shared" si="3"/>
        <v>18.5</v>
      </c>
      <c r="W22" s="168">
        <f>SUM(W5:W20)</f>
        <v>104.00000000000003</v>
      </c>
      <c r="X22" s="169">
        <f>SUM(X5:X20)</f>
        <v>4</v>
      </c>
    </row>
    <row r="23" spans="1:28" x14ac:dyDescent="0.35">
      <c r="N23" s="6" t="s">
        <v>99</v>
      </c>
      <c r="O23" s="6" t="s">
        <v>100</v>
      </c>
    </row>
    <row r="24" spans="1:28" ht="25" customHeight="1" x14ac:dyDescent="0.35">
      <c r="A24" s="161" t="s">
        <v>41</v>
      </c>
      <c r="B24" s="161">
        <v>423.5</v>
      </c>
      <c r="C24" s="163">
        <f>360+6</f>
        <v>366</v>
      </c>
      <c r="D24" s="163">
        <v>319.5</v>
      </c>
      <c r="E24" s="161">
        <v>13</v>
      </c>
      <c r="F24" s="161">
        <v>0</v>
      </c>
      <c r="G24" s="161">
        <v>0</v>
      </c>
      <c r="H24" s="161">
        <v>51.5</v>
      </c>
      <c r="I24" s="161">
        <v>13.5</v>
      </c>
      <c r="J24" s="163">
        <f>14-6.5</f>
        <v>7.5</v>
      </c>
      <c r="K24" s="170">
        <f>SUM(B24:J24)</f>
        <v>1194.5</v>
      </c>
      <c r="L24" s="171">
        <f>N24+N25+N26</f>
        <v>1201</v>
      </c>
      <c r="M24" s="172" t="s">
        <v>42</v>
      </c>
      <c r="N24" s="173">
        <v>1072</v>
      </c>
      <c r="O24" s="174">
        <v>1085.3</v>
      </c>
      <c r="P24" s="175"/>
      <c r="Q24" s="175"/>
      <c r="R24" s="175"/>
      <c r="S24" s="176" t="s">
        <v>43</v>
      </c>
      <c r="T24" s="177">
        <f>SUM(P22+R22+S22+T22)-(U22-V22)</f>
        <v>1086.5</v>
      </c>
      <c r="U24" s="175"/>
      <c r="V24" s="6" t="s">
        <v>44</v>
      </c>
      <c r="W24" s="8">
        <f>W22</f>
        <v>104.00000000000003</v>
      </c>
    </row>
    <row r="25" spans="1:28" x14ac:dyDescent="0.35">
      <c r="M25" s="7" t="s">
        <v>45</v>
      </c>
      <c r="N25" s="83">
        <v>122.5</v>
      </c>
      <c r="O25" s="84">
        <v>109.2</v>
      </c>
      <c r="T25" s="8">
        <f>O24-T24</f>
        <v>-1.2000000000000455</v>
      </c>
      <c r="U25" s="6"/>
      <c r="V25" s="6"/>
      <c r="W25" s="8">
        <f>O25-W24</f>
        <v>5.1999999999999744</v>
      </c>
    </row>
    <row r="26" spans="1:28" ht="30" customHeight="1" x14ac:dyDescent="0.35">
      <c r="A26" s="9" t="s">
        <v>46</v>
      </c>
      <c r="B26" s="10">
        <f t="shared" ref="B26:K26" si="4">B24-B22</f>
        <v>17.5</v>
      </c>
      <c r="C26" s="82">
        <f t="shared" si="4"/>
        <v>7</v>
      </c>
      <c r="D26" s="11">
        <f t="shared" si="4"/>
        <v>-20.5</v>
      </c>
      <c r="E26" s="12">
        <f t="shared" si="4"/>
        <v>1</v>
      </c>
      <c r="F26" s="12">
        <f t="shared" si="4"/>
        <v>0</v>
      </c>
      <c r="G26" s="12">
        <f t="shared" si="4"/>
        <v>0</v>
      </c>
      <c r="H26" s="11">
        <f t="shared" si="4"/>
        <v>-6.5000000000000071</v>
      </c>
      <c r="I26" s="12">
        <f t="shared" si="4"/>
        <v>-2</v>
      </c>
      <c r="J26" s="12">
        <f t="shared" si="4"/>
        <v>7.5</v>
      </c>
      <c r="K26" s="13">
        <f t="shared" si="4"/>
        <v>3.9999999999997726</v>
      </c>
      <c r="L26" s="8"/>
      <c r="M26" s="7" t="s">
        <v>47</v>
      </c>
      <c r="N26" s="83">
        <v>6.5</v>
      </c>
      <c r="O26" s="178">
        <v>6.5</v>
      </c>
    </row>
    <row r="27" spans="1:28" s="14" customFormat="1" x14ac:dyDescent="0.35">
      <c r="A27"/>
      <c r="B27"/>
      <c r="C27"/>
      <c r="D27"/>
      <c r="E27"/>
      <c r="F27"/>
      <c r="G27"/>
      <c r="H27"/>
      <c r="I27"/>
      <c r="J27"/>
      <c r="K27" s="6"/>
      <c r="L27" s="6"/>
      <c r="M27" s="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x14ac:dyDescent="0.35">
      <c r="A28" s="6"/>
    </row>
    <row r="29" spans="1:28" x14ac:dyDescent="0.35">
      <c r="A29" s="6"/>
      <c r="C29" s="15"/>
    </row>
    <row r="30" spans="1:28" x14ac:dyDescent="0.35">
      <c r="C30" s="15"/>
      <c r="E30" s="16"/>
    </row>
  </sheetData>
  <sheetProtection selectLockedCells="1" selectUnlockedCells="1"/>
  <mergeCells count="2">
    <mergeCell ref="B1:J1"/>
    <mergeCell ref="B2:J2"/>
  </mergeCells>
  <pageMargins left="0.70833333333333337" right="0.70833333333333337" top="0.74791666666666667" bottom="0.74791666666666667" header="0.51180555555555551" footer="0.51180555555555551"/>
  <pageSetup paperSize="9" scale="53" firstPageNumber="0" fitToHeight="0" orientation="landscape" horizontalDpi="300" verticalDpi="300" r:id="rId1"/>
  <headerFooter alignWithMargins="0"/>
  <ignoredErrors>
    <ignoredError sqref="N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572B-A698-476F-A6B1-339A973AAE50}">
  <sheetPr>
    <pageSetUpPr fitToPage="1"/>
  </sheetPr>
  <dimension ref="A1:O26"/>
  <sheetViews>
    <sheetView tabSelected="1" topLeftCell="A12" zoomScale="90" zoomScaleNormal="90" workbookViewId="0">
      <selection activeCell="H7" sqref="H7:H20"/>
    </sheetView>
  </sheetViews>
  <sheetFormatPr baseColWidth="10" defaultColWidth="11" defaultRowHeight="14.5" x14ac:dyDescent="0.35"/>
  <cols>
    <col min="1" max="1" width="22.36328125" customWidth="1"/>
    <col min="2" max="2" width="13.36328125" customWidth="1"/>
    <col min="3" max="6" width="7.81640625" customWidth="1"/>
    <col min="7" max="7" width="14.7265625" customWidth="1"/>
    <col min="8" max="10" width="13.08984375" customWidth="1"/>
    <col min="11" max="11" width="8.7265625" customWidth="1"/>
    <col min="12" max="12" width="7.81640625" customWidth="1"/>
    <col min="13" max="13" width="8.36328125" customWidth="1"/>
    <col min="14" max="14" width="9.36328125" customWidth="1"/>
  </cols>
  <sheetData>
    <row r="1" spans="1:15" x14ac:dyDescent="0.35">
      <c r="B1" s="180" t="s">
        <v>48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x14ac:dyDescent="0.3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4" spans="1:15" ht="18.75" customHeight="1" x14ac:dyDescent="0.35">
      <c r="A4" s="17"/>
      <c r="B4" s="18" t="s">
        <v>49</v>
      </c>
      <c r="C4" s="18"/>
      <c r="D4" s="18"/>
      <c r="E4" s="18"/>
      <c r="F4" s="18"/>
      <c r="G4" s="18"/>
      <c r="H4" s="18"/>
      <c r="I4" s="19" t="s">
        <v>50</v>
      </c>
      <c r="J4" s="19"/>
      <c r="K4" s="19"/>
      <c r="L4" s="19"/>
      <c r="M4" s="20"/>
      <c r="N4" s="21"/>
    </row>
    <row r="5" spans="1:15" s="24" customFormat="1" ht="25" customHeight="1" x14ac:dyDescent="0.35">
      <c r="A5" s="2" t="s">
        <v>1</v>
      </c>
      <c r="B5" s="3" t="s">
        <v>51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101</v>
      </c>
      <c r="I5" s="22" t="s">
        <v>57</v>
      </c>
      <c r="J5" s="22" t="s">
        <v>58</v>
      </c>
      <c r="K5" s="22" t="s">
        <v>9</v>
      </c>
      <c r="L5" s="22" t="s">
        <v>59</v>
      </c>
      <c r="M5" s="3" t="s">
        <v>60</v>
      </c>
      <c r="N5" s="23"/>
    </row>
    <row r="6" spans="1:15" ht="25" customHeight="1" x14ac:dyDescent="0.35">
      <c r="A6" s="4" t="s">
        <v>24</v>
      </c>
      <c r="B6" s="25"/>
      <c r="C6" s="26"/>
      <c r="D6" s="26"/>
      <c r="E6" s="26"/>
      <c r="F6" s="26"/>
      <c r="G6" s="26"/>
      <c r="H6" s="25"/>
      <c r="I6" s="26"/>
      <c r="J6" s="26"/>
      <c r="K6" s="26"/>
      <c r="L6" s="81">
        <f>SUM(I6:J6)</f>
        <v>0</v>
      </c>
      <c r="M6" s="27"/>
      <c r="N6" s="28"/>
    </row>
    <row r="7" spans="1:15" ht="25" customHeight="1" x14ac:dyDescent="0.35">
      <c r="A7" s="4" t="s">
        <v>25</v>
      </c>
      <c r="B7" s="29">
        <v>4</v>
      </c>
      <c r="C7" s="30">
        <v>5.5</v>
      </c>
      <c r="D7" s="30">
        <v>1</v>
      </c>
      <c r="E7" s="30"/>
      <c r="F7" s="30"/>
      <c r="G7" s="30">
        <v>0.5</v>
      </c>
      <c r="H7" s="29">
        <v>11</v>
      </c>
      <c r="I7" s="30">
        <v>6</v>
      </c>
      <c r="J7" s="30">
        <v>2</v>
      </c>
      <c r="K7" s="30"/>
      <c r="L7" s="81">
        <f>SUM(I7:J7)</f>
        <v>8</v>
      </c>
      <c r="M7" s="31">
        <f t="shared" ref="M7:M20" si="0">(B7+G7)*H7+SUM(C7:F7)+L7</f>
        <v>64</v>
      </c>
      <c r="N7" s="28"/>
    </row>
    <row r="8" spans="1:15" ht="25" customHeight="1" x14ac:dyDescent="0.35">
      <c r="A8" s="4" t="s">
        <v>61</v>
      </c>
      <c r="B8" s="30">
        <v>3</v>
      </c>
      <c r="C8" s="32"/>
      <c r="D8" s="32">
        <v>0.5</v>
      </c>
      <c r="E8" s="32"/>
      <c r="F8" s="32"/>
      <c r="G8" s="32"/>
      <c r="H8" s="33">
        <v>16</v>
      </c>
      <c r="I8" s="33"/>
      <c r="J8" s="34">
        <v>0.5</v>
      </c>
      <c r="K8" s="33"/>
      <c r="L8" s="81">
        <f>SUM(I8:J8)</f>
        <v>0.5</v>
      </c>
      <c r="M8" s="31">
        <f t="shared" si="0"/>
        <v>49</v>
      </c>
      <c r="N8" s="28"/>
    </row>
    <row r="9" spans="1:15" ht="25" customHeight="1" x14ac:dyDescent="0.35">
      <c r="A9" s="4" t="s">
        <v>62</v>
      </c>
      <c r="B9" s="30">
        <v>3</v>
      </c>
      <c r="C9" s="32"/>
      <c r="D9" s="32"/>
      <c r="E9" s="32"/>
      <c r="F9" s="32"/>
      <c r="G9" s="32"/>
      <c r="H9" s="33">
        <v>0</v>
      </c>
      <c r="I9" s="33"/>
      <c r="J9" s="33"/>
      <c r="K9" s="34">
        <v>4.5</v>
      </c>
      <c r="L9" s="81">
        <f>SUM(I9:J9)</f>
        <v>0</v>
      </c>
      <c r="M9" s="31">
        <f t="shared" si="0"/>
        <v>0</v>
      </c>
      <c r="N9" s="28"/>
    </row>
    <row r="10" spans="1:15" ht="25" customHeight="1" x14ac:dyDescent="0.35">
      <c r="A10" s="4" t="s">
        <v>63</v>
      </c>
      <c r="B10" s="30">
        <v>2.5</v>
      </c>
      <c r="C10" s="32"/>
      <c r="D10" s="32"/>
      <c r="E10" s="32"/>
      <c r="F10" s="32"/>
      <c r="G10" s="32"/>
      <c r="H10" s="33">
        <v>0</v>
      </c>
      <c r="I10" s="33"/>
      <c r="J10" s="33"/>
      <c r="K10" s="33"/>
      <c r="L10" s="81">
        <f t="shared" ref="L10:L20" si="1">SUM(I10:J10)</f>
        <v>0</v>
      </c>
      <c r="M10" s="31">
        <f t="shared" si="0"/>
        <v>0</v>
      </c>
      <c r="N10" s="28"/>
    </row>
    <row r="11" spans="1:15" ht="25" customHeight="1" x14ac:dyDescent="0.35">
      <c r="A11" s="4" t="s">
        <v>64</v>
      </c>
      <c r="B11" s="30">
        <v>2.5</v>
      </c>
      <c r="C11" s="32"/>
      <c r="D11" s="32"/>
      <c r="E11" s="32"/>
      <c r="F11" s="32"/>
      <c r="G11" s="32"/>
      <c r="H11" s="33">
        <v>2</v>
      </c>
      <c r="I11" s="33"/>
      <c r="J11" s="33">
        <v>1</v>
      </c>
      <c r="K11" s="33"/>
      <c r="L11" s="81">
        <f t="shared" si="1"/>
        <v>1</v>
      </c>
      <c r="M11" s="31">
        <f t="shared" si="0"/>
        <v>6</v>
      </c>
      <c r="N11" s="28"/>
    </row>
    <row r="12" spans="1:15" ht="25" customHeight="1" x14ac:dyDescent="0.35">
      <c r="A12" s="4" t="s">
        <v>65</v>
      </c>
      <c r="B12" s="30">
        <v>2.5</v>
      </c>
      <c r="C12" s="32"/>
      <c r="D12" s="32"/>
      <c r="E12" s="32"/>
      <c r="F12" s="32"/>
      <c r="G12" s="32"/>
      <c r="H12" s="33">
        <v>10</v>
      </c>
      <c r="I12" s="33"/>
      <c r="J12" s="33"/>
      <c r="K12" s="33"/>
      <c r="L12" s="81">
        <f t="shared" si="1"/>
        <v>0</v>
      </c>
      <c r="M12" s="31">
        <f t="shared" si="0"/>
        <v>25</v>
      </c>
      <c r="N12" s="28"/>
    </row>
    <row r="13" spans="1:15" ht="25" customHeight="1" x14ac:dyDescent="0.35">
      <c r="A13" s="4" t="s">
        <v>66</v>
      </c>
      <c r="B13" s="30">
        <v>2.5</v>
      </c>
      <c r="C13" s="32"/>
      <c r="D13" s="32"/>
      <c r="E13" s="32"/>
      <c r="F13" s="32"/>
      <c r="G13" s="32"/>
      <c r="H13" s="33">
        <v>2</v>
      </c>
      <c r="I13" s="33"/>
      <c r="J13" s="33"/>
      <c r="K13" s="33"/>
      <c r="L13" s="81">
        <f t="shared" si="1"/>
        <v>0</v>
      </c>
      <c r="M13" s="31">
        <f t="shared" si="0"/>
        <v>5</v>
      </c>
      <c r="N13" s="28"/>
    </row>
    <row r="14" spans="1:15" ht="25" customHeight="1" x14ac:dyDescent="0.35">
      <c r="A14" s="4" t="s">
        <v>67</v>
      </c>
      <c r="B14" s="30">
        <v>2.5</v>
      </c>
      <c r="C14" s="32"/>
      <c r="D14" s="32"/>
      <c r="E14" s="32"/>
      <c r="F14" s="32"/>
      <c r="G14" s="32"/>
      <c r="H14" s="33">
        <v>2</v>
      </c>
      <c r="I14" s="33"/>
      <c r="J14" s="33">
        <v>4</v>
      </c>
      <c r="K14" s="34"/>
      <c r="L14" s="81">
        <f t="shared" si="1"/>
        <v>4</v>
      </c>
      <c r="M14" s="31">
        <f t="shared" si="0"/>
        <v>9</v>
      </c>
      <c r="N14" s="28"/>
    </row>
    <row r="15" spans="1:15" ht="25" customHeight="1" x14ac:dyDescent="0.35">
      <c r="A15" s="4" t="s">
        <v>33</v>
      </c>
      <c r="B15" s="30">
        <v>3</v>
      </c>
      <c r="C15" s="32"/>
      <c r="D15" s="32">
        <v>0.5</v>
      </c>
      <c r="E15" s="32"/>
      <c r="F15" s="32">
        <v>5.5</v>
      </c>
      <c r="G15" s="32"/>
      <c r="H15" s="35">
        <v>11</v>
      </c>
      <c r="I15" s="35"/>
      <c r="J15" s="35">
        <v>2</v>
      </c>
      <c r="K15" s="35"/>
      <c r="L15" s="81">
        <f t="shared" si="1"/>
        <v>2</v>
      </c>
      <c r="M15" s="31">
        <f t="shared" si="0"/>
        <v>41</v>
      </c>
      <c r="N15" s="28"/>
    </row>
    <row r="16" spans="1:15" ht="41.25" customHeight="1" x14ac:dyDescent="0.35">
      <c r="A16" s="4" t="s">
        <v>34</v>
      </c>
      <c r="B16" s="30">
        <v>1.5</v>
      </c>
      <c r="C16" s="32"/>
      <c r="D16" s="32"/>
      <c r="E16" s="32"/>
      <c r="F16" s="32"/>
      <c r="G16" s="32"/>
      <c r="H16" s="33">
        <v>11</v>
      </c>
      <c r="I16" s="33"/>
      <c r="J16" s="33"/>
      <c r="K16" s="33"/>
      <c r="L16" s="81">
        <f t="shared" si="1"/>
        <v>0</v>
      </c>
      <c r="M16" s="31">
        <f t="shared" si="0"/>
        <v>16.5</v>
      </c>
      <c r="N16" s="28"/>
    </row>
    <row r="17" spans="1:14" ht="25" customHeight="1" x14ac:dyDescent="0.35">
      <c r="A17" s="4" t="s">
        <v>35</v>
      </c>
      <c r="B17" s="30">
        <v>4</v>
      </c>
      <c r="C17" s="36">
        <v>5.5</v>
      </c>
      <c r="D17" s="36">
        <v>1</v>
      </c>
      <c r="E17" s="36">
        <v>25</v>
      </c>
      <c r="F17" s="36"/>
      <c r="G17" s="36">
        <v>0.5</v>
      </c>
      <c r="H17" s="33">
        <v>11</v>
      </c>
      <c r="I17" s="33"/>
      <c r="J17" s="33">
        <v>1</v>
      </c>
      <c r="K17" s="33"/>
      <c r="L17" s="81">
        <f t="shared" si="1"/>
        <v>1</v>
      </c>
      <c r="M17" s="31">
        <f t="shared" si="0"/>
        <v>82</v>
      </c>
      <c r="N17" s="28"/>
    </row>
    <row r="18" spans="1:14" ht="25" customHeight="1" x14ac:dyDescent="0.35">
      <c r="A18" s="4" t="s">
        <v>36</v>
      </c>
      <c r="B18" s="30">
        <v>3</v>
      </c>
      <c r="C18" s="32"/>
      <c r="D18" s="32">
        <v>1</v>
      </c>
      <c r="E18" s="32">
        <v>2.5</v>
      </c>
      <c r="F18" s="32"/>
      <c r="G18" s="32">
        <v>1.5</v>
      </c>
      <c r="H18" s="33">
        <v>11</v>
      </c>
      <c r="I18" s="33"/>
      <c r="J18" s="33"/>
      <c r="K18" s="33"/>
      <c r="L18" s="81">
        <f t="shared" si="1"/>
        <v>0</v>
      </c>
      <c r="M18" s="31">
        <f t="shared" si="0"/>
        <v>53</v>
      </c>
      <c r="N18" s="28"/>
    </row>
    <row r="19" spans="1:14" ht="25" customHeight="1" x14ac:dyDescent="0.35">
      <c r="A19" s="4" t="s">
        <v>37</v>
      </c>
      <c r="B19" s="30">
        <v>1.5</v>
      </c>
      <c r="C19" s="32"/>
      <c r="D19" s="32">
        <v>0.5</v>
      </c>
      <c r="E19" s="32"/>
      <c r="F19" s="32"/>
      <c r="G19" s="32">
        <v>1.5</v>
      </c>
      <c r="H19" s="33">
        <v>11</v>
      </c>
      <c r="I19" s="33"/>
      <c r="J19" s="33"/>
      <c r="K19" s="33"/>
      <c r="L19" s="81">
        <f t="shared" si="1"/>
        <v>0</v>
      </c>
      <c r="M19" s="31">
        <f t="shared" si="0"/>
        <v>33.5</v>
      </c>
      <c r="N19" s="28"/>
    </row>
    <row r="20" spans="1:14" ht="25" customHeight="1" x14ac:dyDescent="0.35">
      <c r="A20" s="37" t="s">
        <v>68</v>
      </c>
      <c r="B20" s="30">
        <v>2</v>
      </c>
      <c r="C20" s="32"/>
      <c r="D20" s="32"/>
      <c r="E20" s="32"/>
      <c r="F20" s="32"/>
      <c r="G20" s="32"/>
      <c r="H20" s="33">
        <v>11</v>
      </c>
      <c r="I20" s="33"/>
      <c r="J20" s="33"/>
      <c r="K20" s="33"/>
      <c r="L20" s="81">
        <f t="shared" si="1"/>
        <v>0</v>
      </c>
      <c r="M20" s="31">
        <f t="shared" si="0"/>
        <v>22</v>
      </c>
      <c r="N20" s="28"/>
    </row>
    <row r="21" spans="1:14" ht="25" customHeight="1" x14ac:dyDescent="0.35">
      <c r="A21" s="37" t="s">
        <v>69</v>
      </c>
      <c r="B21" s="38">
        <f>B7+B8+B10+B15+B16+B17+B18+B19+B20</f>
        <v>24.5</v>
      </c>
      <c r="C21" s="39"/>
      <c r="D21" s="39"/>
      <c r="E21" s="38"/>
      <c r="F21" s="38"/>
      <c r="G21" s="38"/>
      <c r="H21" s="38"/>
      <c r="I21" s="38"/>
      <c r="J21" s="38"/>
      <c r="K21" s="38"/>
      <c r="L21" s="38"/>
      <c r="M21" s="38"/>
    </row>
    <row r="22" spans="1:14" ht="25" customHeight="1" x14ac:dyDescent="0.35">
      <c r="A22" s="5" t="s">
        <v>70</v>
      </c>
      <c r="B22" s="40">
        <f>SUM(B7:B8,B11,B15,B16,B17,B18,B19,B20)*11</f>
        <v>269.5</v>
      </c>
      <c r="C22" s="40">
        <f>SUM(C6:C21)</f>
        <v>11</v>
      </c>
      <c r="D22" s="40">
        <f>SUM(D6:D21)</f>
        <v>4.5</v>
      </c>
      <c r="E22" s="40">
        <f>SUM(E7:E20)</f>
        <v>27.5</v>
      </c>
      <c r="F22" s="40">
        <f>SUM(F7:F20)</f>
        <v>5.5</v>
      </c>
      <c r="G22" s="40">
        <f>SUM(G7:G19)*11</f>
        <v>44</v>
      </c>
      <c r="H22" s="40">
        <f>4*3+6*2.5</f>
        <v>27</v>
      </c>
      <c r="I22" s="40"/>
      <c r="J22" s="40"/>
      <c r="K22" s="40"/>
      <c r="L22" s="40">
        <f>SUM(L7:L20)</f>
        <v>16.5</v>
      </c>
      <c r="M22" s="40">
        <f>SUM(M7:M20)</f>
        <v>406</v>
      </c>
      <c r="N22" s="41" t="e">
        <f>#NAME?</f>
        <v>#NAME?</v>
      </c>
    </row>
    <row r="23" spans="1:14" ht="25" customHeight="1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4"/>
    </row>
    <row r="24" spans="1:14" ht="25" customHeight="1" x14ac:dyDescent="0.35">
      <c r="A24" s="40" t="s">
        <v>41</v>
      </c>
      <c r="B24" s="40">
        <f>24.5*11</f>
        <v>269.5</v>
      </c>
      <c r="C24" s="40">
        <v>0</v>
      </c>
      <c r="D24" s="40">
        <v>0</v>
      </c>
      <c r="E24" s="40">
        <f>1.5*11</f>
        <v>16.5</v>
      </c>
      <c r="F24" s="40">
        <f>0.5*11</f>
        <v>5.5</v>
      </c>
      <c r="G24" s="181">
        <f>12*11</f>
        <v>132</v>
      </c>
      <c r="H24" s="182"/>
      <c r="I24" s="40">
        <v>0</v>
      </c>
      <c r="J24" s="40">
        <v>0</v>
      </c>
      <c r="K24" s="40"/>
      <c r="L24" s="40">
        <v>0</v>
      </c>
      <c r="M24" s="40">
        <f>SUM(B24:L24)</f>
        <v>423.5</v>
      </c>
      <c r="N24" s="41"/>
    </row>
    <row r="25" spans="1:14" ht="25" customHeigh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14"/>
    </row>
    <row r="26" spans="1:14" ht="26.5" x14ac:dyDescent="0.35">
      <c r="A26" s="42" t="s">
        <v>46</v>
      </c>
      <c r="B26" s="43">
        <f t="shared" ref="B26:M26" si="2">B24-B22</f>
        <v>0</v>
      </c>
      <c r="C26" s="43">
        <f t="shared" si="2"/>
        <v>-11</v>
      </c>
      <c r="D26" s="43">
        <f t="shared" si="2"/>
        <v>-4.5</v>
      </c>
      <c r="E26" s="43">
        <f t="shared" si="2"/>
        <v>-11</v>
      </c>
      <c r="F26" s="43">
        <f t="shared" si="2"/>
        <v>0</v>
      </c>
      <c r="G26" s="183">
        <f>G24-G22-H22</f>
        <v>61</v>
      </c>
      <c r="H26" s="184"/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-16.5</v>
      </c>
      <c r="M26" s="43">
        <f t="shared" si="2"/>
        <v>17.5</v>
      </c>
      <c r="N26" s="44"/>
    </row>
  </sheetData>
  <sheetProtection selectLockedCells="1" selectUnlockedCells="1"/>
  <mergeCells count="3">
    <mergeCell ref="B1:O2"/>
    <mergeCell ref="G24:H24"/>
    <mergeCell ref="G26:H26"/>
  </mergeCells>
  <pageMargins left="0.70833333333333337" right="0.70833333333333337" top="0.74791666666666667" bottom="0.74791666666666667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DBBA-C3A5-42A8-B4E8-6B77D7CC3150}">
  <sheetPr>
    <pageSetUpPr fitToPage="1"/>
  </sheetPr>
  <dimension ref="A1:P26"/>
  <sheetViews>
    <sheetView zoomScale="90" zoomScaleNormal="90" workbookViewId="0">
      <selection activeCell="I6" sqref="I6"/>
    </sheetView>
  </sheetViews>
  <sheetFormatPr baseColWidth="10" defaultColWidth="11" defaultRowHeight="14.5" x14ac:dyDescent="0.35"/>
  <cols>
    <col min="1" max="1" width="29.7265625" customWidth="1"/>
    <col min="2" max="3" width="13.36328125" customWidth="1"/>
    <col min="4" max="5" width="7.81640625" customWidth="1"/>
    <col min="6" max="6" width="16.36328125" customWidth="1"/>
    <col min="7" max="7" width="7.81640625" customWidth="1"/>
    <col min="8" max="8" width="14.08984375" customWidth="1"/>
    <col min="9" max="9" width="13.08984375" customWidth="1"/>
    <col min="10" max="10" width="18.6328125" customWidth="1"/>
    <col min="11" max="11" width="10.36328125" customWidth="1"/>
    <col min="12" max="12" width="9.36328125" customWidth="1"/>
    <col min="13" max="13" width="8.08984375" customWidth="1"/>
    <col min="14" max="14" width="7.81640625" customWidth="1"/>
    <col min="15" max="15" width="8.36328125" customWidth="1"/>
    <col min="16" max="16" width="4.08984375" customWidth="1"/>
  </cols>
  <sheetData>
    <row r="1" spans="1:16" x14ac:dyDescent="0.35">
      <c r="B1" s="180" t="s">
        <v>71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6" x14ac:dyDescent="0.3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4" spans="1:16" ht="18.75" customHeight="1" x14ac:dyDescent="0.35">
      <c r="A4" s="17"/>
      <c r="B4" s="18" t="s">
        <v>49</v>
      </c>
      <c r="C4" s="18"/>
      <c r="D4" s="18"/>
      <c r="E4" s="18"/>
      <c r="F4" s="18"/>
      <c r="G4" s="18"/>
      <c r="H4" s="18"/>
      <c r="I4" s="18"/>
      <c r="J4" s="18"/>
      <c r="K4" s="19" t="s">
        <v>50</v>
      </c>
      <c r="L4" s="19"/>
      <c r="M4" s="19"/>
      <c r="N4" s="19"/>
      <c r="O4" s="45"/>
      <c r="P4" s="21"/>
    </row>
    <row r="5" spans="1:16" s="24" customFormat="1" ht="31.5" customHeight="1" x14ac:dyDescent="0.35">
      <c r="A5" s="2" t="s">
        <v>1</v>
      </c>
      <c r="B5" s="3" t="s">
        <v>51</v>
      </c>
      <c r="C5" s="3" t="s">
        <v>72</v>
      </c>
      <c r="D5" s="3" t="s">
        <v>52</v>
      </c>
      <c r="E5" s="3" t="s">
        <v>53</v>
      </c>
      <c r="F5" s="3" t="s">
        <v>73</v>
      </c>
      <c r="G5" s="3" t="s">
        <v>55</v>
      </c>
      <c r="H5" s="3" t="s">
        <v>74</v>
      </c>
      <c r="I5" s="3" t="s">
        <v>101</v>
      </c>
      <c r="J5" s="3" t="s">
        <v>75</v>
      </c>
      <c r="K5" s="22" t="s">
        <v>57</v>
      </c>
      <c r="L5" s="22" t="s">
        <v>58</v>
      </c>
      <c r="M5" s="22" t="s">
        <v>9</v>
      </c>
      <c r="N5" s="22" t="s">
        <v>59</v>
      </c>
      <c r="O5" s="3" t="s">
        <v>60</v>
      </c>
      <c r="P5" s="23"/>
    </row>
    <row r="6" spans="1:16" ht="25" customHeight="1" x14ac:dyDescent="0.35">
      <c r="A6" s="4" t="s">
        <v>24</v>
      </c>
      <c r="B6" s="25"/>
      <c r="C6" s="25">
        <v>4</v>
      </c>
      <c r="D6" s="26"/>
      <c r="E6" s="26"/>
      <c r="F6" s="26"/>
      <c r="G6" s="26">
        <v>0.5</v>
      </c>
      <c r="H6" s="26"/>
      <c r="I6" s="25"/>
      <c r="J6" s="25">
        <v>1</v>
      </c>
      <c r="K6" s="26"/>
      <c r="L6" s="26"/>
      <c r="M6" s="26"/>
      <c r="N6" s="30">
        <f>SUM(K6:M6)</f>
        <v>0</v>
      </c>
      <c r="O6" s="46">
        <f t="shared" ref="O6:O17" si="0">(B6+H6)*I6+(C6+H6)*J6+D6+E6+F6+G6+N6</f>
        <v>4.5</v>
      </c>
      <c r="P6" s="28"/>
    </row>
    <row r="7" spans="1:16" ht="25" customHeight="1" x14ac:dyDescent="0.35">
      <c r="A7" s="4" t="s">
        <v>25</v>
      </c>
      <c r="B7" s="29">
        <v>4</v>
      </c>
      <c r="C7" s="29">
        <v>4</v>
      </c>
      <c r="D7" s="30">
        <v>5</v>
      </c>
      <c r="E7" s="30">
        <v>0</v>
      </c>
      <c r="F7" s="30"/>
      <c r="G7" s="30"/>
      <c r="H7" s="30"/>
      <c r="I7" s="47">
        <v>10</v>
      </c>
      <c r="J7" s="48">
        <v>1</v>
      </c>
      <c r="K7" s="25">
        <v>6</v>
      </c>
      <c r="L7" s="25"/>
      <c r="M7" s="25"/>
      <c r="N7" s="30">
        <f>SUM(K7:M7)</f>
        <v>6</v>
      </c>
      <c r="O7" s="46">
        <f t="shared" si="0"/>
        <v>55</v>
      </c>
      <c r="P7" s="28"/>
    </row>
    <row r="8" spans="1:16" ht="25" customHeight="1" x14ac:dyDescent="0.35">
      <c r="A8" s="4" t="s">
        <v>61</v>
      </c>
      <c r="B8" s="30">
        <v>2.5</v>
      </c>
      <c r="C8" s="32">
        <v>4</v>
      </c>
      <c r="D8" s="32"/>
      <c r="E8" s="32"/>
      <c r="F8" s="32"/>
      <c r="G8" s="32"/>
      <c r="H8" s="32"/>
      <c r="I8" s="33">
        <v>13</v>
      </c>
      <c r="J8" s="49">
        <v>4</v>
      </c>
      <c r="K8" s="50"/>
      <c r="L8" s="50">
        <v>0.5</v>
      </c>
      <c r="M8" s="50"/>
      <c r="N8" s="30">
        <f>SUM(K8:M8)</f>
        <v>0.5</v>
      </c>
      <c r="O8" s="46">
        <f t="shared" si="0"/>
        <v>49</v>
      </c>
      <c r="P8" s="28"/>
    </row>
    <row r="9" spans="1:16" ht="25" customHeight="1" x14ac:dyDescent="0.35">
      <c r="A9" s="4" t="s">
        <v>62</v>
      </c>
      <c r="B9" s="30">
        <v>2.5</v>
      </c>
      <c r="C9" s="32"/>
      <c r="D9" s="32"/>
      <c r="E9" s="32"/>
      <c r="F9" s="32"/>
      <c r="G9" s="32"/>
      <c r="H9" s="32"/>
      <c r="I9" s="33">
        <v>0</v>
      </c>
      <c r="J9" s="49"/>
      <c r="K9" s="50"/>
      <c r="L9" s="50"/>
      <c r="M9" s="50">
        <v>5.5</v>
      </c>
      <c r="N9" s="30">
        <v>0</v>
      </c>
      <c r="O9" s="46">
        <f t="shared" si="0"/>
        <v>0</v>
      </c>
      <c r="P9" s="28"/>
    </row>
    <row r="10" spans="1:16" ht="25" customHeight="1" x14ac:dyDescent="0.35">
      <c r="A10" s="4" t="s">
        <v>63</v>
      </c>
      <c r="B10" s="30">
        <v>2</v>
      </c>
      <c r="C10" s="32"/>
      <c r="D10" s="32"/>
      <c r="E10" s="32"/>
      <c r="F10" s="32"/>
      <c r="G10" s="32"/>
      <c r="H10" s="32"/>
      <c r="I10" s="33">
        <v>0</v>
      </c>
      <c r="J10" s="49"/>
      <c r="K10" s="50"/>
      <c r="L10" s="50"/>
      <c r="M10" s="50"/>
      <c r="N10" s="30">
        <f t="shared" ref="N10:N20" si="1">SUM(K10:M10)</f>
        <v>0</v>
      </c>
      <c r="O10" s="46">
        <f t="shared" si="0"/>
        <v>0</v>
      </c>
      <c r="P10" s="28"/>
    </row>
    <row r="11" spans="1:16" ht="25" customHeight="1" x14ac:dyDescent="0.35">
      <c r="A11" s="4" t="s">
        <v>64</v>
      </c>
      <c r="B11" s="30">
        <v>2</v>
      </c>
      <c r="C11" s="32"/>
      <c r="D11" s="32"/>
      <c r="E11" s="32"/>
      <c r="F11" s="32"/>
      <c r="G11" s="32"/>
      <c r="H11" s="32"/>
      <c r="I11" s="33">
        <v>2</v>
      </c>
      <c r="J11" s="49"/>
      <c r="K11" s="50"/>
      <c r="L11" s="50">
        <v>0.5</v>
      </c>
      <c r="M11" s="50"/>
      <c r="N11" s="30">
        <f t="shared" si="1"/>
        <v>0.5</v>
      </c>
      <c r="O11" s="46">
        <f t="shared" si="0"/>
        <v>4.5</v>
      </c>
      <c r="P11" s="28"/>
    </row>
    <row r="12" spans="1:16" ht="25" customHeight="1" x14ac:dyDescent="0.35">
      <c r="A12" s="4" t="s">
        <v>65</v>
      </c>
      <c r="B12" s="30">
        <v>2</v>
      </c>
      <c r="C12" s="32"/>
      <c r="D12" s="32"/>
      <c r="E12" s="32"/>
      <c r="F12" s="32"/>
      <c r="G12" s="32"/>
      <c r="H12" s="32"/>
      <c r="I12" s="33">
        <v>9</v>
      </c>
      <c r="J12" s="49"/>
      <c r="K12" s="50"/>
      <c r="L12" s="50">
        <v>0.5</v>
      </c>
      <c r="M12" s="50"/>
      <c r="N12" s="30">
        <f t="shared" si="1"/>
        <v>0.5</v>
      </c>
      <c r="O12" s="46">
        <f t="shared" si="0"/>
        <v>18.5</v>
      </c>
      <c r="P12" s="28"/>
    </row>
    <row r="13" spans="1:16" ht="25" customHeight="1" x14ac:dyDescent="0.35">
      <c r="A13" s="4" t="s">
        <v>66</v>
      </c>
      <c r="B13" s="30">
        <v>2</v>
      </c>
      <c r="C13" s="32"/>
      <c r="D13" s="32"/>
      <c r="E13" s="32"/>
      <c r="F13" s="32"/>
      <c r="G13" s="32"/>
      <c r="H13" s="32"/>
      <c r="I13" s="33">
        <v>2</v>
      </c>
      <c r="J13" s="49"/>
      <c r="K13" s="50"/>
      <c r="L13" s="50"/>
      <c r="M13" s="50"/>
      <c r="N13" s="30">
        <f t="shared" si="1"/>
        <v>0</v>
      </c>
      <c r="O13" s="46">
        <f t="shared" si="0"/>
        <v>4</v>
      </c>
      <c r="P13" s="28"/>
    </row>
    <row r="14" spans="1:16" ht="25" customHeight="1" x14ac:dyDescent="0.35">
      <c r="A14" s="4" t="s">
        <v>67</v>
      </c>
      <c r="B14" s="30">
        <v>2</v>
      </c>
      <c r="C14" s="32"/>
      <c r="D14" s="32"/>
      <c r="E14" s="32"/>
      <c r="F14" s="32"/>
      <c r="G14" s="32"/>
      <c r="H14" s="32"/>
      <c r="I14" s="33">
        <v>2</v>
      </c>
      <c r="J14" s="49"/>
      <c r="K14" s="50"/>
      <c r="L14" s="50">
        <v>4.5</v>
      </c>
      <c r="M14" s="50"/>
      <c r="N14" s="30">
        <f t="shared" si="1"/>
        <v>4.5</v>
      </c>
      <c r="O14" s="46">
        <f t="shared" si="0"/>
        <v>8.5</v>
      </c>
      <c r="P14" s="28"/>
    </row>
    <row r="15" spans="1:16" ht="25" customHeight="1" x14ac:dyDescent="0.35">
      <c r="A15" s="4" t="s">
        <v>33</v>
      </c>
      <c r="B15" s="30">
        <v>3</v>
      </c>
      <c r="C15" s="32">
        <v>4</v>
      </c>
      <c r="D15" s="32"/>
      <c r="E15" s="32">
        <v>0.5</v>
      </c>
      <c r="F15" s="32"/>
      <c r="G15" s="32">
        <v>2.5</v>
      </c>
      <c r="H15" s="32"/>
      <c r="I15" s="32">
        <v>10</v>
      </c>
      <c r="J15" s="35">
        <v>5</v>
      </c>
      <c r="K15" s="35"/>
      <c r="L15" s="35">
        <v>2</v>
      </c>
      <c r="M15" s="35"/>
      <c r="N15" s="30">
        <f t="shared" si="1"/>
        <v>2</v>
      </c>
      <c r="O15" s="46">
        <f t="shared" si="0"/>
        <v>55</v>
      </c>
      <c r="P15" s="28"/>
    </row>
    <row r="16" spans="1:16" ht="41.25" customHeight="1" x14ac:dyDescent="0.35">
      <c r="A16" s="4" t="s">
        <v>34</v>
      </c>
      <c r="B16" s="30"/>
      <c r="C16" s="32">
        <v>4</v>
      </c>
      <c r="D16" s="32"/>
      <c r="E16" s="32">
        <v>0.5</v>
      </c>
      <c r="F16" s="32"/>
      <c r="G16" s="32">
        <v>2.5</v>
      </c>
      <c r="H16" s="32"/>
      <c r="I16" s="32"/>
      <c r="J16" s="33">
        <v>5</v>
      </c>
      <c r="K16" s="33"/>
      <c r="L16" s="33"/>
      <c r="M16" s="33"/>
      <c r="N16" s="30">
        <f t="shared" si="1"/>
        <v>0</v>
      </c>
      <c r="O16" s="46">
        <f t="shared" si="0"/>
        <v>23</v>
      </c>
      <c r="P16" s="28"/>
    </row>
    <row r="17" spans="1:16" ht="25" customHeight="1" x14ac:dyDescent="0.35">
      <c r="A17" s="4" t="s">
        <v>35</v>
      </c>
      <c r="B17" s="30">
        <v>1.5</v>
      </c>
      <c r="C17" s="32">
        <v>4</v>
      </c>
      <c r="D17" s="36">
        <v>4</v>
      </c>
      <c r="E17" s="36">
        <v>1</v>
      </c>
      <c r="F17" s="36"/>
      <c r="G17" s="36"/>
      <c r="H17" s="36"/>
      <c r="I17" s="36">
        <v>3</v>
      </c>
      <c r="J17" s="33">
        <v>8</v>
      </c>
      <c r="K17" s="33"/>
      <c r="L17" s="33">
        <v>1</v>
      </c>
      <c r="M17" s="33"/>
      <c r="N17" s="30">
        <f t="shared" si="1"/>
        <v>1</v>
      </c>
      <c r="O17" s="46">
        <f t="shared" si="0"/>
        <v>42.5</v>
      </c>
      <c r="P17" s="28"/>
    </row>
    <row r="18" spans="1:16" ht="25" customHeight="1" x14ac:dyDescent="0.35">
      <c r="A18" s="4" t="s">
        <v>36</v>
      </c>
      <c r="B18" s="30">
        <v>1</v>
      </c>
      <c r="C18" s="32">
        <v>4</v>
      </c>
      <c r="D18" s="32"/>
      <c r="E18" s="32">
        <v>0</v>
      </c>
      <c r="F18" s="32">
        <v>0.5</v>
      </c>
      <c r="G18" s="32"/>
      <c r="H18" s="32">
        <v>2</v>
      </c>
      <c r="I18" s="32">
        <v>10</v>
      </c>
      <c r="J18" s="33">
        <v>4</v>
      </c>
      <c r="K18" s="33"/>
      <c r="L18" s="33"/>
      <c r="M18" s="33"/>
      <c r="N18" s="30">
        <f t="shared" si="1"/>
        <v>0</v>
      </c>
      <c r="O18" s="51">
        <f>(B18+F18)*I18+(C18+H18)*J18+D18+E18+G18+N18</f>
        <v>39</v>
      </c>
      <c r="P18" s="28"/>
    </row>
    <row r="19" spans="1:16" ht="25" customHeight="1" x14ac:dyDescent="0.35">
      <c r="A19" s="4" t="s">
        <v>37</v>
      </c>
      <c r="B19" s="30">
        <v>1</v>
      </c>
      <c r="C19" s="32">
        <v>4</v>
      </c>
      <c r="D19" s="32"/>
      <c r="E19" s="32">
        <v>0.5</v>
      </c>
      <c r="F19" s="32">
        <v>0.5</v>
      </c>
      <c r="G19" s="32"/>
      <c r="H19" s="32">
        <v>2</v>
      </c>
      <c r="I19" s="32">
        <v>10</v>
      </c>
      <c r="J19" s="33">
        <v>3</v>
      </c>
      <c r="K19" s="33"/>
      <c r="L19" s="33"/>
      <c r="M19" s="33"/>
      <c r="N19" s="30">
        <f t="shared" si="1"/>
        <v>0</v>
      </c>
      <c r="O19" s="51">
        <f>(B19+F19)*I19+(C19+H19)*J19+D19+E19+G19+N19</f>
        <v>33.5</v>
      </c>
      <c r="P19" s="28"/>
    </row>
    <row r="20" spans="1:16" ht="25" customHeight="1" x14ac:dyDescent="0.35">
      <c r="A20" s="37" t="s">
        <v>68</v>
      </c>
      <c r="B20" s="30">
        <v>2</v>
      </c>
      <c r="C20" s="32"/>
      <c r="D20" s="32"/>
      <c r="E20" s="32">
        <v>2</v>
      </c>
      <c r="F20" s="32"/>
      <c r="G20" s="32"/>
      <c r="H20" s="32"/>
      <c r="I20" s="32">
        <v>10</v>
      </c>
      <c r="J20" s="33"/>
      <c r="K20" s="33"/>
      <c r="L20" s="33"/>
      <c r="M20" s="33"/>
      <c r="N20" s="30">
        <f t="shared" si="1"/>
        <v>0</v>
      </c>
      <c r="O20" s="46">
        <f>(B20+H20)*I20+(C20+H20)*J20+D20+E20+F20+G20+N20</f>
        <v>22</v>
      </c>
      <c r="P20" s="28"/>
    </row>
    <row r="21" spans="1:16" ht="25" customHeight="1" x14ac:dyDescent="0.35">
      <c r="A21" s="37" t="s">
        <v>76</v>
      </c>
      <c r="B21" s="5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6" ht="25" customHeight="1" x14ac:dyDescent="0.35">
      <c r="A22" s="5" t="s">
        <v>77</v>
      </c>
      <c r="B22" s="40">
        <f>B7*I7+B8*10+B12*10+B15*I15+B17*I17+B18*I18+B19*I19+B20*I20</f>
        <v>159.5</v>
      </c>
      <c r="C22" s="40"/>
      <c r="D22" s="40">
        <f>SUM(D6:D20)</f>
        <v>9</v>
      </c>
      <c r="E22" s="40">
        <f>SUM(E6:E20)</f>
        <v>4.5</v>
      </c>
      <c r="F22" s="53">
        <f>F18*10+F19*10</f>
        <v>10</v>
      </c>
      <c r="G22" s="40">
        <f>SUM(G6:G20)</f>
        <v>5.5</v>
      </c>
      <c r="H22" s="40">
        <f>H18*J18+H19*J19</f>
        <v>14</v>
      </c>
      <c r="I22" s="40">
        <f>3*2.5+5*2</f>
        <v>17.5</v>
      </c>
      <c r="J22" s="40">
        <f>SUM(J6:J20)*4</f>
        <v>124</v>
      </c>
      <c r="K22" s="40"/>
      <c r="L22" s="40"/>
      <c r="M22" s="40"/>
      <c r="N22" s="40">
        <f>SUM(N6:N20)</f>
        <v>15</v>
      </c>
      <c r="O22" s="40">
        <f>SUM(O6:O20)</f>
        <v>359</v>
      </c>
      <c r="P22" s="41"/>
    </row>
    <row r="23" spans="1:16" ht="25" customHeight="1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4"/>
    </row>
    <row r="24" spans="1:16" ht="25" customHeight="1" x14ac:dyDescent="0.35">
      <c r="A24" s="40" t="s">
        <v>41</v>
      </c>
      <c r="B24" s="40">
        <f>15.5*10+6</f>
        <v>161</v>
      </c>
      <c r="C24" s="40"/>
      <c r="D24" s="40">
        <v>0</v>
      </c>
      <c r="E24" s="40">
        <v>0</v>
      </c>
      <c r="F24" s="40"/>
      <c r="G24" s="40">
        <f>0.5*10</f>
        <v>5</v>
      </c>
      <c r="H24" s="181">
        <f>8*10</f>
        <v>80</v>
      </c>
      <c r="I24" s="182"/>
      <c r="J24" s="40">
        <f>(10*3*4)</f>
        <v>120</v>
      </c>
      <c r="K24" s="40"/>
      <c r="L24" s="40"/>
      <c r="M24" s="40"/>
      <c r="N24" s="40">
        <v>0</v>
      </c>
      <c r="O24" s="40">
        <f>SUM(B24:N24)</f>
        <v>366</v>
      </c>
      <c r="P24" s="41"/>
    </row>
    <row r="25" spans="1:16" ht="25" customHeigh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14"/>
    </row>
    <row r="26" spans="1:16" ht="25" customHeight="1" x14ac:dyDescent="0.35">
      <c r="A26" s="54" t="s">
        <v>46</v>
      </c>
      <c r="B26" s="43">
        <f t="shared" ref="B26:O26" si="2">B24-B22</f>
        <v>1.5</v>
      </c>
      <c r="C26" s="43">
        <f t="shared" si="2"/>
        <v>0</v>
      </c>
      <c r="D26" s="43">
        <f t="shared" si="2"/>
        <v>-9</v>
      </c>
      <c r="E26" s="43">
        <f t="shared" si="2"/>
        <v>-4.5</v>
      </c>
      <c r="F26" s="43">
        <f t="shared" si="2"/>
        <v>-10</v>
      </c>
      <c r="G26" s="43">
        <f t="shared" si="2"/>
        <v>-0.5</v>
      </c>
      <c r="H26" s="183">
        <f>H24-H22-I22</f>
        <v>48.5</v>
      </c>
      <c r="I26" s="184"/>
      <c r="J26" s="43">
        <f t="shared" si="2"/>
        <v>-4</v>
      </c>
      <c r="K26" s="43">
        <f t="shared" si="2"/>
        <v>0</v>
      </c>
      <c r="L26" s="43">
        <f t="shared" si="2"/>
        <v>0</v>
      </c>
      <c r="M26" s="43">
        <f t="shared" si="2"/>
        <v>0</v>
      </c>
      <c r="N26" s="43">
        <f t="shared" si="2"/>
        <v>-15</v>
      </c>
      <c r="O26" s="43">
        <f t="shared" si="2"/>
        <v>7</v>
      </c>
      <c r="P26" s="44"/>
    </row>
  </sheetData>
  <sheetProtection selectLockedCells="1" selectUnlockedCells="1"/>
  <mergeCells count="3">
    <mergeCell ref="B1:O2"/>
    <mergeCell ref="H24:I24"/>
    <mergeCell ref="H26:I26"/>
  </mergeCell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B664-CE14-45ED-85E6-60AD8E031042}">
  <sheetPr>
    <pageSetUpPr fitToPage="1"/>
  </sheetPr>
  <dimension ref="A1:R26"/>
  <sheetViews>
    <sheetView zoomScale="90" zoomScaleNormal="90" workbookViewId="0">
      <selection activeCell="H6" sqref="H6"/>
    </sheetView>
  </sheetViews>
  <sheetFormatPr baseColWidth="10" defaultColWidth="11" defaultRowHeight="14.5" x14ac:dyDescent="0.35"/>
  <cols>
    <col min="1" max="1" width="27.81640625" customWidth="1"/>
    <col min="2" max="3" width="13.36328125" customWidth="1"/>
    <col min="4" max="4" width="7.81640625" customWidth="1"/>
    <col min="5" max="5" width="12" customWidth="1"/>
    <col min="6" max="6" width="7.81640625" customWidth="1"/>
    <col min="7" max="7" width="14.08984375" customWidth="1"/>
    <col min="8" max="8" width="13.08984375" customWidth="1"/>
    <col min="9" max="9" width="18.6328125" customWidth="1"/>
    <col min="10" max="10" width="7.81640625" customWidth="1"/>
    <col min="11" max="12" width="6.08984375" customWidth="1"/>
    <col min="13" max="15" width="7.81640625" customWidth="1"/>
    <col min="16" max="16" width="10.08984375" customWidth="1"/>
    <col min="17" max="17" width="8.36328125" customWidth="1"/>
    <col min="18" max="18" width="4.08984375" customWidth="1"/>
  </cols>
  <sheetData>
    <row r="1" spans="1:18" x14ac:dyDescent="0.35">
      <c r="B1" s="185" t="s">
        <v>78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8" x14ac:dyDescent="0.3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4" spans="1:18" ht="18.75" customHeight="1" x14ac:dyDescent="0.35">
      <c r="A4" s="17"/>
      <c r="B4" s="18" t="s">
        <v>49</v>
      </c>
      <c r="C4" s="18"/>
      <c r="D4" s="18"/>
      <c r="E4" s="18"/>
      <c r="F4" s="18"/>
      <c r="G4" s="18"/>
      <c r="H4" s="18"/>
      <c r="I4" s="18"/>
      <c r="J4" s="186" t="s">
        <v>50</v>
      </c>
      <c r="K4" s="186"/>
      <c r="L4" s="186"/>
      <c r="M4" s="186"/>
      <c r="N4" s="186"/>
      <c r="O4" s="186"/>
      <c r="P4" s="186"/>
      <c r="Q4" s="186"/>
      <c r="R4" s="21"/>
    </row>
    <row r="5" spans="1:18" s="24" customFormat="1" ht="25" customHeight="1" x14ac:dyDescent="0.35">
      <c r="A5" s="2" t="s">
        <v>1</v>
      </c>
      <c r="B5" s="3" t="s">
        <v>51</v>
      </c>
      <c r="C5" s="3" t="s">
        <v>72</v>
      </c>
      <c r="D5" s="3" t="s">
        <v>53</v>
      </c>
      <c r="E5" s="3" t="s">
        <v>79</v>
      </c>
      <c r="F5" s="3" t="s">
        <v>55</v>
      </c>
      <c r="G5" s="3" t="s">
        <v>80</v>
      </c>
      <c r="H5" s="3" t="s">
        <v>101</v>
      </c>
      <c r="I5" s="3" t="s">
        <v>75</v>
      </c>
      <c r="J5" s="22" t="s">
        <v>57</v>
      </c>
      <c r="K5" s="22" t="s">
        <v>58</v>
      </c>
      <c r="L5" s="22" t="s">
        <v>9</v>
      </c>
      <c r="M5" s="22" t="s">
        <v>81</v>
      </c>
      <c r="N5" s="22" t="s">
        <v>82</v>
      </c>
      <c r="O5" s="22" t="s">
        <v>83</v>
      </c>
      <c r="P5" s="22" t="s">
        <v>84</v>
      </c>
      <c r="Q5" s="3" t="s">
        <v>60</v>
      </c>
      <c r="R5" s="23"/>
    </row>
    <row r="6" spans="1:18" ht="25" customHeight="1" x14ac:dyDescent="0.35">
      <c r="A6" s="4" t="s">
        <v>24</v>
      </c>
      <c r="B6" s="25">
        <v>4</v>
      </c>
      <c r="C6" s="25">
        <v>6</v>
      </c>
      <c r="D6" s="26">
        <v>0.5</v>
      </c>
      <c r="E6" s="26"/>
      <c r="F6" s="26">
        <v>7</v>
      </c>
      <c r="G6" s="26"/>
      <c r="H6" s="25">
        <v>9</v>
      </c>
      <c r="I6" s="25">
        <v>0.5</v>
      </c>
      <c r="J6" s="26"/>
      <c r="K6" s="26"/>
      <c r="L6" s="26"/>
      <c r="M6" s="26"/>
      <c r="N6" s="26"/>
      <c r="O6" s="26"/>
      <c r="P6" s="55">
        <f>SUM(J6:O6)</f>
        <v>0</v>
      </c>
      <c r="Q6" s="46">
        <f t="shared" ref="Q6:Q20" si="0">(B6+E6)*H6+(C6+G6)*I6+D6+F6+P6</f>
        <v>46.5</v>
      </c>
      <c r="R6" s="28"/>
    </row>
    <row r="7" spans="1:18" ht="25" customHeight="1" x14ac:dyDescent="0.35">
      <c r="A7" s="4" t="s">
        <v>25</v>
      </c>
      <c r="B7" s="29"/>
      <c r="C7" s="29">
        <v>6</v>
      </c>
      <c r="D7" s="30"/>
      <c r="E7" s="30"/>
      <c r="F7" s="30"/>
      <c r="G7" s="30"/>
      <c r="H7" s="47">
        <v>1</v>
      </c>
      <c r="I7" s="48">
        <v>0.5</v>
      </c>
      <c r="J7" s="30">
        <v>6</v>
      </c>
      <c r="K7" s="56"/>
      <c r="L7" s="56"/>
      <c r="M7" s="56"/>
      <c r="N7" s="56"/>
      <c r="O7" s="56"/>
      <c r="P7" s="55">
        <f>SUM(J7:O7)</f>
        <v>6</v>
      </c>
      <c r="Q7" s="46">
        <f t="shared" si="0"/>
        <v>9</v>
      </c>
      <c r="R7" s="28"/>
    </row>
    <row r="8" spans="1:18" ht="25" customHeight="1" x14ac:dyDescent="0.35">
      <c r="A8" s="4" t="s">
        <v>61</v>
      </c>
      <c r="B8" s="30">
        <v>2</v>
      </c>
      <c r="C8" s="32">
        <v>6</v>
      </c>
      <c r="D8" s="32">
        <v>0</v>
      </c>
      <c r="E8" s="32"/>
      <c r="F8" s="32"/>
      <c r="G8" s="32"/>
      <c r="H8" s="33">
        <v>12</v>
      </c>
      <c r="I8" s="49">
        <v>2</v>
      </c>
      <c r="J8" s="32"/>
      <c r="K8" s="55">
        <v>0.5</v>
      </c>
      <c r="L8" s="55"/>
      <c r="M8" s="55"/>
      <c r="N8" s="55"/>
      <c r="O8" s="55"/>
      <c r="P8" s="55">
        <f>SUM(J8:O8)</f>
        <v>0.5</v>
      </c>
      <c r="Q8" s="46">
        <f t="shared" si="0"/>
        <v>36.5</v>
      </c>
      <c r="R8" s="28"/>
    </row>
    <row r="9" spans="1:18" ht="25" customHeight="1" x14ac:dyDescent="0.35">
      <c r="A9" s="4" t="s">
        <v>62</v>
      </c>
      <c r="B9" s="30">
        <v>2</v>
      </c>
      <c r="C9" s="32"/>
      <c r="D9" s="32"/>
      <c r="E9" s="32"/>
      <c r="F9" s="32"/>
      <c r="G9" s="32"/>
      <c r="H9" s="33">
        <v>0</v>
      </c>
      <c r="I9" s="49"/>
      <c r="J9" s="32"/>
      <c r="K9" s="55"/>
      <c r="L9" s="55">
        <v>5.5</v>
      </c>
      <c r="M9" s="55"/>
      <c r="N9" s="55"/>
      <c r="O9" s="55"/>
      <c r="P9" s="55">
        <v>0</v>
      </c>
      <c r="Q9" s="46">
        <f t="shared" si="0"/>
        <v>0</v>
      </c>
      <c r="R9" s="28"/>
    </row>
    <row r="10" spans="1:18" ht="25" customHeight="1" x14ac:dyDescent="0.35">
      <c r="A10" s="4" t="s">
        <v>63</v>
      </c>
      <c r="B10" s="30">
        <v>2</v>
      </c>
      <c r="C10" s="32"/>
      <c r="D10" s="32"/>
      <c r="E10" s="32"/>
      <c r="F10" s="32"/>
      <c r="G10" s="32"/>
      <c r="H10" s="33">
        <v>0</v>
      </c>
      <c r="I10" s="49"/>
      <c r="J10" s="32"/>
      <c r="K10" s="55"/>
      <c r="L10" s="55"/>
      <c r="M10" s="55"/>
      <c r="N10" s="55"/>
      <c r="O10" s="55"/>
      <c r="P10" s="55">
        <f>SUM(J10:O10)</f>
        <v>0</v>
      </c>
      <c r="Q10" s="46">
        <f t="shared" si="0"/>
        <v>0</v>
      </c>
      <c r="R10" s="28"/>
    </row>
    <row r="11" spans="1:18" ht="25" customHeight="1" x14ac:dyDescent="0.35">
      <c r="A11" s="4" t="s">
        <v>64</v>
      </c>
      <c r="B11" s="30">
        <v>2</v>
      </c>
      <c r="C11" s="32"/>
      <c r="D11" s="32"/>
      <c r="E11" s="32"/>
      <c r="F11" s="32"/>
      <c r="G11" s="32"/>
      <c r="H11" s="33">
        <v>2</v>
      </c>
      <c r="I11" s="49"/>
      <c r="J11" s="32"/>
      <c r="K11" s="55">
        <v>0.5</v>
      </c>
      <c r="L11" s="55"/>
      <c r="M11" s="55"/>
      <c r="N11" s="55"/>
      <c r="O11" s="55"/>
      <c r="P11" s="55">
        <v>0.5</v>
      </c>
      <c r="Q11" s="46">
        <f t="shared" si="0"/>
        <v>4.5</v>
      </c>
      <c r="R11" s="28"/>
    </row>
    <row r="12" spans="1:18" ht="25" customHeight="1" x14ac:dyDescent="0.35">
      <c r="A12" s="4" t="s">
        <v>65</v>
      </c>
      <c r="B12" s="30">
        <v>2</v>
      </c>
      <c r="C12" s="32"/>
      <c r="D12" s="32"/>
      <c r="E12" s="32"/>
      <c r="F12" s="32"/>
      <c r="G12" s="32"/>
      <c r="H12" s="33">
        <v>8</v>
      </c>
      <c r="I12" s="49"/>
      <c r="J12" s="32"/>
      <c r="K12" s="55">
        <v>0.5</v>
      </c>
      <c r="L12" s="55"/>
      <c r="M12" s="55"/>
      <c r="N12" s="55"/>
      <c r="O12" s="55"/>
      <c r="P12" s="55">
        <f t="shared" ref="P12:P20" si="1">SUM(J12:O12)</f>
        <v>0.5</v>
      </c>
      <c r="Q12" s="46">
        <f t="shared" si="0"/>
        <v>16.5</v>
      </c>
      <c r="R12" s="28"/>
    </row>
    <row r="13" spans="1:18" ht="25" customHeight="1" x14ac:dyDescent="0.35">
      <c r="A13" s="4" t="s">
        <v>66</v>
      </c>
      <c r="B13" s="30">
        <v>2</v>
      </c>
      <c r="C13" s="32"/>
      <c r="D13" s="32"/>
      <c r="E13" s="32"/>
      <c r="F13" s="32"/>
      <c r="G13" s="32"/>
      <c r="H13" s="33">
        <v>1</v>
      </c>
      <c r="I13" s="49"/>
      <c r="J13" s="32"/>
      <c r="K13" s="55"/>
      <c r="L13" s="55"/>
      <c r="M13" s="55"/>
      <c r="N13" s="55"/>
      <c r="O13" s="55"/>
      <c r="P13" s="55">
        <f t="shared" si="1"/>
        <v>0</v>
      </c>
      <c r="Q13" s="46">
        <f t="shared" si="0"/>
        <v>2</v>
      </c>
      <c r="R13" s="28"/>
    </row>
    <row r="14" spans="1:18" ht="25" customHeight="1" x14ac:dyDescent="0.35">
      <c r="A14" s="4" t="s">
        <v>67</v>
      </c>
      <c r="B14" s="30">
        <v>2</v>
      </c>
      <c r="C14" s="32"/>
      <c r="D14" s="32"/>
      <c r="E14" s="32"/>
      <c r="F14" s="32"/>
      <c r="G14" s="32"/>
      <c r="H14" s="33">
        <v>2</v>
      </c>
      <c r="I14" s="49"/>
      <c r="J14" s="32"/>
      <c r="K14" s="55">
        <v>4.5</v>
      </c>
      <c r="L14" s="55"/>
      <c r="M14" s="55"/>
      <c r="N14" s="55"/>
      <c r="O14" s="55"/>
      <c r="P14" s="55">
        <f t="shared" si="1"/>
        <v>4.5</v>
      </c>
      <c r="Q14" s="46">
        <f t="shared" si="0"/>
        <v>8.5</v>
      </c>
      <c r="R14" s="28"/>
    </row>
    <row r="15" spans="1:18" ht="25" customHeight="1" x14ac:dyDescent="0.35">
      <c r="A15" s="4" t="s">
        <v>33</v>
      </c>
      <c r="B15" s="30">
        <v>3</v>
      </c>
      <c r="C15" s="32">
        <v>6</v>
      </c>
      <c r="D15" s="32">
        <v>1</v>
      </c>
      <c r="E15" s="32"/>
      <c r="F15" s="32">
        <v>2</v>
      </c>
      <c r="G15" s="32"/>
      <c r="H15" s="32">
        <v>9</v>
      </c>
      <c r="I15" s="35">
        <v>4</v>
      </c>
      <c r="J15" s="32"/>
      <c r="K15" s="55">
        <v>2</v>
      </c>
      <c r="L15" s="55"/>
      <c r="M15" s="55"/>
      <c r="N15" s="55"/>
      <c r="O15" s="55">
        <v>6</v>
      </c>
      <c r="P15" s="55">
        <f t="shared" si="1"/>
        <v>8</v>
      </c>
      <c r="Q15" s="46">
        <f t="shared" si="0"/>
        <v>62</v>
      </c>
      <c r="R15" s="28"/>
    </row>
    <row r="16" spans="1:18" ht="41.25" customHeight="1" x14ac:dyDescent="0.35">
      <c r="A16" s="4" t="s">
        <v>34</v>
      </c>
      <c r="B16" s="30"/>
      <c r="C16" s="32">
        <v>6</v>
      </c>
      <c r="D16" s="32">
        <v>0.5</v>
      </c>
      <c r="E16" s="32"/>
      <c r="F16" s="32"/>
      <c r="G16" s="32"/>
      <c r="H16" s="32"/>
      <c r="I16" s="33">
        <v>4</v>
      </c>
      <c r="J16" s="32"/>
      <c r="K16" s="55"/>
      <c r="L16" s="55"/>
      <c r="M16" s="55"/>
      <c r="N16" s="55"/>
      <c r="O16" s="55"/>
      <c r="P16" s="55">
        <f t="shared" si="1"/>
        <v>0</v>
      </c>
      <c r="Q16" s="46">
        <f t="shared" si="0"/>
        <v>24.5</v>
      </c>
      <c r="R16" s="28"/>
    </row>
    <row r="17" spans="1:18" ht="25" customHeight="1" x14ac:dyDescent="0.35">
      <c r="A17" s="4" t="s">
        <v>35</v>
      </c>
      <c r="B17" s="30"/>
      <c r="C17" s="32">
        <v>6</v>
      </c>
      <c r="D17" s="36">
        <v>1.5</v>
      </c>
      <c r="E17" s="36"/>
      <c r="F17" s="36"/>
      <c r="G17" s="36"/>
      <c r="H17" s="36"/>
      <c r="I17" s="33">
        <v>5</v>
      </c>
      <c r="J17" s="36"/>
      <c r="K17" s="57">
        <v>1</v>
      </c>
      <c r="L17" s="57"/>
      <c r="M17" s="57">
        <v>6</v>
      </c>
      <c r="N17" s="57">
        <v>6</v>
      </c>
      <c r="O17" s="57"/>
      <c r="P17" s="55">
        <f t="shared" si="1"/>
        <v>13</v>
      </c>
      <c r="Q17" s="46">
        <f t="shared" si="0"/>
        <v>44.5</v>
      </c>
      <c r="R17" s="28"/>
    </row>
    <row r="18" spans="1:18" ht="25" customHeight="1" x14ac:dyDescent="0.35">
      <c r="A18" s="4" t="s">
        <v>36</v>
      </c>
      <c r="B18" s="30">
        <v>1</v>
      </c>
      <c r="C18" s="32">
        <v>6</v>
      </c>
      <c r="D18" s="32"/>
      <c r="E18" s="32">
        <v>0.5</v>
      </c>
      <c r="F18" s="32"/>
      <c r="G18" s="32">
        <v>2</v>
      </c>
      <c r="H18" s="32">
        <v>9</v>
      </c>
      <c r="I18" s="33">
        <v>3</v>
      </c>
      <c r="J18" s="32"/>
      <c r="K18" s="55"/>
      <c r="L18" s="55"/>
      <c r="M18" s="55"/>
      <c r="N18" s="55"/>
      <c r="O18" s="55"/>
      <c r="P18" s="55">
        <f t="shared" si="1"/>
        <v>0</v>
      </c>
      <c r="Q18" s="46">
        <f t="shared" si="0"/>
        <v>37.5</v>
      </c>
      <c r="R18" s="28"/>
    </row>
    <row r="19" spans="1:18" ht="25" customHeight="1" x14ac:dyDescent="0.35">
      <c r="A19" s="4" t="s">
        <v>37</v>
      </c>
      <c r="B19" s="30">
        <v>1</v>
      </c>
      <c r="C19" s="32">
        <v>6</v>
      </c>
      <c r="D19" s="32">
        <v>0.5</v>
      </c>
      <c r="E19" s="32">
        <v>0.5</v>
      </c>
      <c r="F19" s="32"/>
      <c r="G19" s="32">
        <v>2</v>
      </c>
      <c r="H19" s="32">
        <v>9</v>
      </c>
      <c r="I19" s="33">
        <v>2</v>
      </c>
      <c r="J19" s="32"/>
      <c r="K19" s="55"/>
      <c r="L19" s="55"/>
      <c r="M19" s="55"/>
      <c r="N19" s="55"/>
      <c r="O19" s="55"/>
      <c r="P19" s="55">
        <f t="shared" si="1"/>
        <v>0</v>
      </c>
      <c r="Q19" s="51">
        <f t="shared" si="0"/>
        <v>30</v>
      </c>
      <c r="R19" s="28"/>
    </row>
    <row r="20" spans="1:18" ht="25" customHeight="1" x14ac:dyDescent="0.35">
      <c r="A20" s="37" t="s">
        <v>68</v>
      </c>
      <c r="B20" s="30">
        <v>2</v>
      </c>
      <c r="C20" s="32"/>
      <c r="D20" s="32"/>
      <c r="E20" s="32"/>
      <c r="F20" s="32"/>
      <c r="G20" s="32"/>
      <c r="H20" s="32">
        <v>9</v>
      </c>
      <c r="I20" s="33"/>
      <c r="J20" s="32"/>
      <c r="K20" s="32"/>
      <c r="L20" s="32"/>
      <c r="M20" s="32"/>
      <c r="N20" s="32"/>
      <c r="O20" s="32"/>
      <c r="P20" s="55">
        <f t="shared" si="1"/>
        <v>0</v>
      </c>
      <c r="Q20" s="46">
        <f t="shared" si="0"/>
        <v>18</v>
      </c>
      <c r="R20" s="28"/>
    </row>
    <row r="21" spans="1:18" ht="25" customHeight="1" x14ac:dyDescent="0.35">
      <c r="A21" s="37"/>
      <c r="B21" s="5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8" ht="25" customHeight="1" x14ac:dyDescent="0.35">
      <c r="A22" s="5" t="s">
        <v>85</v>
      </c>
      <c r="B22" s="40">
        <f>SUM(B6:B8,B11,B15,B16,B17,B18,B19,B20)*9</f>
        <v>135</v>
      </c>
      <c r="C22" s="40"/>
      <c r="D22" s="40">
        <f>SUM(D6:D20)</f>
        <v>4</v>
      </c>
      <c r="E22" s="40">
        <f>SUM(E6:E20)*9</f>
        <v>9</v>
      </c>
      <c r="F22" s="40">
        <f>SUM(F6:F20)</f>
        <v>9</v>
      </c>
      <c r="G22" s="40">
        <f>G18*I18+G19*I19</f>
        <v>10</v>
      </c>
      <c r="H22" s="40"/>
      <c r="I22" s="40">
        <f>C6*I6+C7*I7+C8*I8+C15*I15+C16*I16+C17*I17+C18*I18+C19*I19</f>
        <v>126</v>
      </c>
      <c r="J22" s="40">
        <f>SUM(J6:J20)</f>
        <v>6</v>
      </c>
      <c r="K22" s="40">
        <f>SUM(K6:K20)</f>
        <v>9</v>
      </c>
      <c r="L22" s="40"/>
      <c r="M22" s="40">
        <f>SUM(M6:M20)</f>
        <v>6</v>
      </c>
      <c r="N22" s="40">
        <f>SUM(N6:N20)</f>
        <v>6</v>
      </c>
      <c r="O22" s="40">
        <f>SUM(O6:O20)</f>
        <v>6</v>
      </c>
      <c r="P22" s="40">
        <f>SUM(P6:P20)</f>
        <v>33</v>
      </c>
      <c r="Q22" s="40">
        <f>SUM(Q6:Q20)</f>
        <v>340</v>
      </c>
      <c r="R22" s="41"/>
    </row>
    <row r="23" spans="1:18" ht="25" customHeight="1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4"/>
    </row>
    <row r="24" spans="1:18" ht="25" customHeight="1" x14ac:dyDescent="0.35">
      <c r="A24" s="40" t="s">
        <v>41</v>
      </c>
      <c r="B24" s="40">
        <f>15*9</f>
        <v>135</v>
      </c>
      <c r="C24" s="40"/>
      <c r="D24" s="40">
        <v>0</v>
      </c>
      <c r="E24" s="40">
        <v>0</v>
      </c>
      <c r="F24" s="40">
        <f>0.5*9</f>
        <v>4.5</v>
      </c>
      <c r="G24" s="40">
        <f>8*9</f>
        <v>72</v>
      </c>
      <c r="H24" s="40"/>
      <c r="I24" s="40">
        <f>9*6*2</f>
        <v>108</v>
      </c>
      <c r="J24" s="40">
        <v>0</v>
      </c>
      <c r="K24" s="40">
        <v>0</v>
      </c>
      <c r="L24" s="40"/>
      <c r="M24" s="40">
        <v>0</v>
      </c>
      <c r="N24" s="40">
        <v>0</v>
      </c>
      <c r="O24" s="40">
        <v>0</v>
      </c>
      <c r="P24" s="40">
        <v>0</v>
      </c>
      <c r="Q24" s="40">
        <f>SUM(B24:J24)</f>
        <v>319.5</v>
      </c>
      <c r="R24" s="41"/>
    </row>
    <row r="25" spans="1:18" ht="25" customHeigh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4"/>
    </row>
    <row r="26" spans="1:18" ht="25" customHeight="1" x14ac:dyDescent="0.35">
      <c r="A26" s="54" t="s">
        <v>46</v>
      </c>
      <c r="B26" s="43">
        <f t="shared" ref="B26:K26" si="2">B24-B22</f>
        <v>0</v>
      </c>
      <c r="C26" s="43">
        <f t="shared" si="2"/>
        <v>0</v>
      </c>
      <c r="D26" s="43">
        <f t="shared" si="2"/>
        <v>-4</v>
      </c>
      <c r="E26" s="43">
        <f t="shared" si="2"/>
        <v>-9</v>
      </c>
      <c r="F26" s="43">
        <f t="shared" si="2"/>
        <v>-4.5</v>
      </c>
      <c r="G26" s="58">
        <f t="shared" si="2"/>
        <v>62</v>
      </c>
      <c r="H26" s="43">
        <f t="shared" si="2"/>
        <v>0</v>
      </c>
      <c r="I26" s="58">
        <f t="shared" si="2"/>
        <v>-18</v>
      </c>
      <c r="J26" s="43">
        <f t="shared" si="2"/>
        <v>-6</v>
      </c>
      <c r="K26" s="43">
        <f t="shared" si="2"/>
        <v>-9</v>
      </c>
      <c r="L26" s="43"/>
      <c r="M26" s="43">
        <f>M24-M22</f>
        <v>-6</v>
      </c>
      <c r="N26" s="43">
        <f>N24-N22</f>
        <v>-6</v>
      </c>
      <c r="O26" s="43">
        <f>O24-O22</f>
        <v>-6</v>
      </c>
      <c r="P26" s="43">
        <f>P24-P22</f>
        <v>-33</v>
      </c>
      <c r="Q26" s="43">
        <f>Q24-Q22</f>
        <v>-20.5</v>
      </c>
      <c r="R26" s="44"/>
    </row>
  </sheetData>
  <sheetProtection selectLockedCells="1" selectUnlockedCells="1"/>
  <mergeCells count="2">
    <mergeCell ref="B1:Q2"/>
    <mergeCell ref="J4:Q4"/>
  </mergeCells>
  <pageMargins left="0.70833333333333337" right="0.70833333333333337" top="0.74791666666666667" bottom="0.74791666666666667" header="0.51180555555555551" footer="0.51180555555555551"/>
  <pageSetup paperSize="9" scale="6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12A4-C7D5-4475-A0FD-E03649A91A35}">
  <dimension ref="A1:P25"/>
  <sheetViews>
    <sheetView workbookViewId="0">
      <selection activeCell="D26" sqref="D26"/>
    </sheetView>
  </sheetViews>
  <sheetFormatPr baseColWidth="10" defaultColWidth="11" defaultRowHeight="14.5" x14ac:dyDescent="0.35"/>
  <cols>
    <col min="1" max="1" width="18.7265625" style="24" customWidth="1"/>
    <col min="2" max="2" width="9.7265625" customWidth="1"/>
    <col min="3" max="3" width="8.08984375" customWidth="1"/>
    <col min="4" max="4" width="15.7265625" customWidth="1"/>
    <col min="5" max="5" width="6.08984375" customWidth="1"/>
    <col min="6" max="6" width="6.7265625" customWidth="1"/>
    <col min="7" max="7" width="9.36328125" customWidth="1"/>
    <col min="8" max="8" width="9.08984375" customWidth="1"/>
    <col min="9" max="10" width="6.26953125" customWidth="1"/>
    <col min="11" max="11" width="9" style="6" customWidth="1"/>
    <col min="12" max="12" width="8.08984375" style="6" customWidth="1"/>
    <col min="13" max="13" width="10.6328125" customWidth="1"/>
    <col min="14" max="14" width="6.36328125" customWidth="1"/>
  </cols>
  <sheetData>
    <row r="1" spans="1:16" s="24" customFormat="1" ht="24.75" customHeight="1" x14ac:dyDescent="0.35">
      <c r="A1" s="59"/>
      <c r="B1" s="190" t="s">
        <v>86</v>
      </c>
      <c r="C1" s="60"/>
      <c r="D1" s="61" t="s">
        <v>87</v>
      </c>
      <c r="E1" s="190" t="s">
        <v>50</v>
      </c>
      <c r="F1" s="190"/>
      <c r="G1" s="190"/>
      <c r="H1" s="190"/>
      <c r="I1" s="190" t="s">
        <v>52</v>
      </c>
      <c r="J1" s="190"/>
      <c r="K1" s="191" t="s">
        <v>88</v>
      </c>
      <c r="L1" s="62"/>
      <c r="M1" s="187" t="s">
        <v>89</v>
      </c>
      <c r="N1" s="188" t="s">
        <v>90</v>
      </c>
    </row>
    <row r="2" spans="1:16" s="65" customFormat="1" ht="35.5" x14ac:dyDescent="0.35">
      <c r="A2" s="61" t="s">
        <v>1</v>
      </c>
      <c r="B2" s="190"/>
      <c r="C2" s="60" t="s">
        <v>90</v>
      </c>
      <c r="D2" s="63" t="s">
        <v>91</v>
      </c>
      <c r="E2" s="64" t="s">
        <v>57</v>
      </c>
      <c r="F2" s="64" t="s">
        <v>92</v>
      </c>
      <c r="G2" s="64" t="s">
        <v>93</v>
      </c>
      <c r="H2" s="64" t="s">
        <v>83</v>
      </c>
      <c r="I2" s="64" t="s">
        <v>53</v>
      </c>
      <c r="J2" s="64" t="s">
        <v>52</v>
      </c>
      <c r="K2" s="191"/>
      <c r="L2" s="62" t="s">
        <v>90</v>
      </c>
      <c r="M2" s="187"/>
      <c r="N2" s="188"/>
    </row>
    <row r="3" spans="1:16" x14ac:dyDescent="0.35">
      <c r="A3" s="85" t="s">
        <v>24</v>
      </c>
      <c r="B3" s="86">
        <f>2*2+4*9+3</f>
        <v>43</v>
      </c>
      <c r="C3" s="87">
        <f t="shared" ref="C3:C17" si="0">B3/$B$20</f>
        <v>5.2121212121212124E-2</v>
      </c>
      <c r="D3" s="86">
        <v>0</v>
      </c>
      <c r="E3" s="86">
        <v>0</v>
      </c>
      <c r="F3" s="86">
        <v>0</v>
      </c>
      <c r="G3" s="86">
        <v>0</v>
      </c>
      <c r="H3" s="86">
        <v>0</v>
      </c>
      <c r="I3" s="86">
        <v>0.5</v>
      </c>
      <c r="J3" s="86">
        <v>0</v>
      </c>
      <c r="K3" s="88">
        <f t="shared" ref="K3:K17" si="1">SUM(D3:J3)</f>
        <v>0.5</v>
      </c>
      <c r="L3" s="89">
        <f t="shared" ref="L3:L17" si="2">K3/$K$20</f>
        <v>1.7667844522968198E-3</v>
      </c>
      <c r="M3" s="90">
        <f t="shared" ref="M3:M17" si="3">K3+B3</f>
        <v>43.5</v>
      </c>
      <c r="N3" s="91">
        <f t="shared" ref="N3:N17" si="4">D3/M3</f>
        <v>0</v>
      </c>
      <c r="O3" s="69"/>
      <c r="P3" s="70"/>
    </row>
    <row r="4" spans="1:16" x14ac:dyDescent="0.35">
      <c r="A4" s="85" t="s">
        <v>25</v>
      </c>
      <c r="B4" s="86">
        <f>4*11+4*10+2*2+1*3</f>
        <v>91</v>
      </c>
      <c r="C4" s="87">
        <f t="shared" si="0"/>
        <v>0.11030303030303031</v>
      </c>
      <c r="D4" s="86">
        <f>11*0.5</f>
        <v>5.5</v>
      </c>
      <c r="E4" s="86">
        <v>18</v>
      </c>
      <c r="F4" s="86">
        <v>0</v>
      </c>
      <c r="G4" s="86">
        <v>0</v>
      </c>
      <c r="H4" s="86">
        <v>0</v>
      </c>
      <c r="I4" s="86">
        <v>1</v>
      </c>
      <c r="J4" s="86">
        <v>10.5</v>
      </c>
      <c r="K4" s="101">
        <f t="shared" si="1"/>
        <v>35</v>
      </c>
      <c r="L4" s="102">
        <f t="shared" si="2"/>
        <v>0.12367491166077739</v>
      </c>
      <c r="M4" s="90">
        <f t="shared" si="3"/>
        <v>126</v>
      </c>
      <c r="N4" s="91">
        <f t="shared" si="4"/>
        <v>4.3650793650793648E-2</v>
      </c>
      <c r="O4" s="69"/>
      <c r="P4" s="70"/>
    </row>
    <row r="5" spans="1:16" x14ac:dyDescent="0.35">
      <c r="A5" s="85" t="s">
        <v>28</v>
      </c>
      <c r="B5" s="86">
        <f>2*2.5+2+2</f>
        <v>9</v>
      </c>
      <c r="C5" s="87">
        <f t="shared" si="0"/>
        <v>1.090909090909091E-2</v>
      </c>
      <c r="D5" s="86">
        <v>4</v>
      </c>
      <c r="E5" s="86">
        <v>0</v>
      </c>
      <c r="F5" s="86">
        <v>2</v>
      </c>
      <c r="G5" s="86">
        <v>0</v>
      </c>
      <c r="H5" s="86">
        <v>0</v>
      </c>
      <c r="I5" s="86">
        <v>0</v>
      </c>
      <c r="J5" s="86">
        <v>0</v>
      </c>
      <c r="K5" s="94">
        <f t="shared" si="1"/>
        <v>6</v>
      </c>
      <c r="L5" s="95">
        <f t="shared" si="2"/>
        <v>2.1201413427561839E-2</v>
      </c>
      <c r="M5" s="90">
        <f t="shared" si="3"/>
        <v>15</v>
      </c>
      <c r="N5" s="91">
        <f t="shared" si="4"/>
        <v>0.26666666666666666</v>
      </c>
      <c r="O5" s="69"/>
      <c r="P5" s="70"/>
    </row>
    <row r="6" spans="1:16" x14ac:dyDescent="0.35">
      <c r="A6" s="85" t="s">
        <v>29</v>
      </c>
      <c r="B6" s="86">
        <f>11*3+10*2.5+9*2+4*4+2*6</f>
        <v>104</v>
      </c>
      <c r="C6" s="87">
        <f t="shared" si="0"/>
        <v>0.12606060606060607</v>
      </c>
      <c r="D6" s="86">
        <f>5*3+2.5*3+3*3</f>
        <v>31.5</v>
      </c>
      <c r="E6" s="86">
        <v>0</v>
      </c>
      <c r="F6" s="86">
        <v>1.5</v>
      </c>
      <c r="G6" s="86">
        <v>0</v>
      </c>
      <c r="H6" s="86">
        <v>0</v>
      </c>
      <c r="I6" s="86">
        <v>0.5</v>
      </c>
      <c r="J6" s="86">
        <v>0</v>
      </c>
      <c r="K6" s="94">
        <f t="shared" si="1"/>
        <v>33.5</v>
      </c>
      <c r="L6" s="95">
        <f>K6/$K$20</f>
        <v>0.11837455830388692</v>
      </c>
      <c r="M6" s="90">
        <f t="shared" si="3"/>
        <v>137.5</v>
      </c>
      <c r="N6" s="91">
        <f t="shared" si="4"/>
        <v>0.2290909090909091</v>
      </c>
      <c r="O6" s="69"/>
      <c r="P6" s="70"/>
    </row>
    <row r="7" spans="1:16" x14ac:dyDescent="0.35">
      <c r="A7" s="85" t="s">
        <v>30</v>
      </c>
      <c r="B7" s="86">
        <f>2.5+2+2</f>
        <v>6.5</v>
      </c>
      <c r="C7" s="87">
        <f t="shared" si="0"/>
        <v>7.8787878787878792E-3</v>
      </c>
      <c r="D7" s="86">
        <v>7.5</v>
      </c>
      <c r="E7" s="86">
        <v>0</v>
      </c>
      <c r="F7" s="86">
        <v>14</v>
      </c>
      <c r="G7" s="86">
        <v>0</v>
      </c>
      <c r="H7" s="86">
        <v>0</v>
      </c>
      <c r="I7" s="86">
        <v>0</v>
      </c>
      <c r="J7" s="86">
        <v>0</v>
      </c>
      <c r="K7" s="92">
        <f t="shared" si="1"/>
        <v>21.5</v>
      </c>
      <c r="L7" s="93">
        <f t="shared" si="2"/>
        <v>7.5971731448763249E-2</v>
      </c>
      <c r="M7" s="90">
        <f t="shared" si="3"/>
        <v>28</v>
      </c>
      <c r="N7" s="91">
        <f t="shared" si="4"/>
        <v>0.26785714285714285</v>
      </c>
      <c r="O7" s="69"/>
      <c r="P7" s="70"/>
    </row>
    <row r="8" spans="1:16" x14ac:dyDescent="0.35">
      <c r="A8" s="85" t="s">
        <v>31</v>
      </c>
      <c r="B8" s="86">
        <f>8*2.5+7*2+6*2</f>
        <v>46</v>
      </c>
      <c r="C8" s="87">
        <f t="shared" si="0"/>
        <v>5.5757575757575756E-2</v>
      </c>
      <c r="D8" s="86">
        <f>2*2.5+2*2+2*2</f>
        <v>13</v>
      </c>
      <c r="E8" s="86">
        <v>0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  <c r="K8" s="94">
        <f t="shared" si="1"/>
        <v>14</v>
      </c>
      <c r="L8" s="95">
        <f t="shared" si="2"/>
        <v>4.9469964664310952E-2</v>
      </c>
      <c r="M8" s="90">
        <f t="shared" si="3"/>
        <v>60</v>
      </c>
      <c r="N8" s="91">
        <f t="shared" si="4"/>
        <v>0.21666666666666667</v>
      </c>
      <c r="O8" s="69"/>
      <c r="P8" s="70"/>
    </row>
    <row r="9" spans="1:16" x14ac:dyDescent="0.35">
      <c r="A9" s="85" t="s">
        <v>32</v>
      </c>
      <c r="B9" s="86">
        <f>2.5*2+2+2</f>
        <v>9</v>
      </c>
      <c r="C9" s="87">
        <f t="shared" si="0"/>
        <v>1.090909090909091E-2</v>
      </c>
      <c r="D9" s="86">
        <v>2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94">
        <f t="shared" si="1"/>
        <v>2</v>
      </c>
      <c r="L9" s="95">
        <f t="shared" si="2"/>
        <v>7.0671378091872791E-3</v>
      </c>
      <c r="M9" s="90">
        <f t="shared" si="3"/>
        <v>11</v>
      </c>
      <c r="N9" s="91">
        <f t="shared" si="4"/>
        <v>0.18181818181818182</v>
      </c>
      <c r="O9" s="69"/>
      <c r="P9" s="70"/>
    </row>
    <row r="10" spans="1:16" x14ac:dyDescent="0.35">
      <c r="A10" s="85" t="s">
        <v>33</v>
      </c>
      <c r="B10" s="86">
        <f>11*3+3*10+3*9+5*4+4*6</f>
        <v>134</v>
      </c>
      <c r="C10" s="87">
        <f t="shared" si="0"/>
        <v>0.16242424242424242</v>
      </c>
      <c r="D10" s="86">
        <v>0</v>
      </c>
      <c r="E10" s="86">
        <v>0</v>
      </c>
      <c r="F10" s="86">
        <v>6</v>
      </c>
      <c r="G10" s="86">
        <v>0</v>
      </c>
      <c r="H10" s="86">
        <v>3</v>
      </c>
      <c r="I10" s="86">
        <v>2.5</v>
      </c>
      <c r="J10" s="86">
        <v>0</v>
      </c>
      <c r="K10" s="88">
        <f t="shared" si="1"/>
        <v>11.5</v>
      </c>
      <c r="L10" s="89">
        <f t="shared" si="2"/>
        <v>4.0636042402826852E-2</v>
      </c>
      <c r="M10" s="90">
        <f t="shared" si="3"/>
        <v>145.5</v>
      </c>
      <c r="N10" s="91">
        <f t="shared" si="4"/>
        <v>0</v>
      </c>
      <c r="O10" s="69"/>
      <c r="P10" s="70"/>
    </row>
    <row r="11" spans="1:16" x14ac:dyDescent="0.35">
      <c r="A11" s="85" t="s">
        <v>55</v>
      </c>
      <c r="B11" s="86">
        <f>11*0.5+10*0.5+9*0.5</f>
        <v>15</v>
      </c>
      <c r="C11" s="87">
        <f t="shared" si="0"/>
        <v>1.8181818181818181E-2</v>
      </c>
      <c r="D11" s="86">
        <f>0.5*9</f>
        <v>4.5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94">
        <f t="shared" si="1"/>
        <v>4.5</v>
      </c>
      <c r="L11" s="95">
        <f t="shared" si="2"/>
        <v>1.5901060070671377E-2</v>
      </c>
      <c r="M11" s="90">
        <f t="shared" si="3"/>
        <v>19.5</v>
      </c>
      <c r="N11" s="91">
        <f t="shared" si="4"/>
        <v>0.23076923076923078</v>
      </c>
      <c r="P11" s="70"/>
    </row>
    <row r="12" spans="1:16" x14ac:dyDescent="0.35">
      <c r="A12" s="85" t="s">
        <v>94</v>
      </c>
      <c r="B12" s="86">
        <f>11*1.5+5*4+4*6</f>
        <v>60.5</v>
      </c>
      <c r="C12" s="87">
        <f t="shared" si="0"/>
        <v>7.3333333333333334E-2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1</v>
      </c>
      <c r="J12" s="86">
        <v>0</v>
      </c>
      <c r="K12" s="88">
        <f t="shared" si="1"/>
        <v>1</v>
      </c>
      <c r="L12" s="89">
        <f t="shared" si="2"/>
        <v>3.5335689045936395E-3</v>
      </c>
      <c r="M12" s="90">
        <f t="shared" si="3"/>
        <v>61.5</v>
      </c>
      <c r="N12" s="91">
        <f t="shared" si="4"/>
        <v>0</v>
      </c>
      <c r="O12" s="69"/>
      <c r="P12" s="70"/>
    </row>
    <row r="13" spans="1:16" x14ac:dyDescent="0.35">
      <c r="A13" s="85" t="s">
        <v>35</v>
      </c>
      <c r="B13" s="86">
        <f>4*11+8*4+1.5*4+5*6</f>
        <v>112</v>
      </c>
      <c r="C13" s="87">
        <f t="shared" si="0"/>
        <v>0.13575757575757577</v>
      </c>
      <c r="D13" s="86">
        <f>0.5*11</f>
        <v>5.5</v>
      </c>
      <c r="E13" s="86">
        <v>0</v>
      </c>
      <c r="F13" s="86">
        <f>3</f>
        <v>3</v>
      </c>
      <c r="G13" s="86">
        <v>12</v>
      </c>
      <c r="H13" s="86">
        <v>0</v>
      </c>
      <c r="I13" s="86">
        <v>3.5</v>
      </c>
      <c r="J13" s="86">
        <f>5.5+4</f>
        <v>9.5</v>
      </c>
      <c r="K13" s="94">
        <f t="shared" si="1"/>
        <v>33.5</v>
      </c>
      <c r="L13" s="95">
        <f t="shared" si="2"/>
        <v>0.11837455830388692</v>
      </c>
      <c r="M13" s="90">
        <f t="shared" si="3"/>
        <v>145.5</v>
      </c>
      <c r="N13" s="91">
        <f t="shared" si="4"/>
        <v>3.7800687285223365E-2</v>
      </c>
      <c r="O13" s="69"/>
      <c r="P13" s="70"/>
    </row>
    <row r="14" spans="1:16" x14ac:dyDescent="0.35">
      <c r="A14" s="85" t="s">
        <v>54</v>
      </c>
      <c r="B14" s="86">
        <f>1.5*11</f>
        <v>16.5</v>
      </c>
      <c r="C14" s="87">
        <f t="shared" si="0"/>
        <v>0.02</v>
      </c>
      <c r="D14" s="86">
        <f>1*11</f>
        <v>11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92">
        <f t="shared" si="1"/>
        <v>11</v>
      </c>
      <c r="L14" s="93">
        <f t="shared" si="2"/>
        <v>3.8869257950530034E-2</v>
      </c>
      <c r="M14" s="90">
        <f t="shared" si="3"/>
        <v>27.5</v>
      </c>
      <c r="N14" s="91">
        <f t="shared" si="4"/>
        <v>0.4</v>
      </c>
      <c r="O14" s="69"/>
      <c r="P14" s="70"/>
    </row>
    <row r="15" spans="1:16" ht="24" x14ac:dyDescent="0.35">
      <c r="A15" s="85" t="s">
        <v>36</v>
      </c>
      <c r="B15" s="86">
        <f>3*11+4*4+3*6+10*1+9*1</f>
        <v>86</v>
      </c>
      <c r="C15" s="87">
        <f t="shared" si="0"/>
        <v>0.10424242424242425</v>
      </c>
      <c r="D15" s="86">
        <f>1.5*11+2*4+2*3+0.5*10+0.5*10</f>
        <v>40.5</v>
      </c>
      <c r="E15" s="86">
        <v>0</v>
      </c>
      <c r="F15" s="86">
        <v>0</v>
      </c>
      <c r="G15" s="86">
        <v>0</v>
      </c>
      <c r="H15" s="86">
        <v>0</v>
      </c>
      <c r="I15" s="86">
        <v>1.5</v>
      </c>
      <c r="J15" s="86">
        <v>0</v>
      </c>
      <c r="K15" s="92">
        <f t="shared" si="1"/>
        <v>42</v>
      </c>
      <c r="L15" s="93">
        <f t="shared" si="2"/>
        <v>0.14840989399293286</v>
      </c>
      <c r="M15" s="90">
        <f t="shared" si="3"/>
        <v>128</v>
      </c>
      <c r="N15" s="91">
        <f>D15/M15</f>
        <v>0.31640625</v>
      </c>
      <c r="O15" s="69"/>
      <c r="P15" s="70"/>
    </row>
    <row r="16" spans="1:16" x14ac:dyDescent="0.35">
      <c r="A16" s="85" t="s">
        <v>37</v>
      </c>
      <c r="B16" s="86">
        <f>1.5*11+3*4+2*6+1*10+1*9</f>
        <v>59.5</v>
      </c>
      <c r="C16" s="87">
        <f t="shared" si="0"/>
        <v>7.2121212121212128E-2</v>
      </c>
      <c r="D16" s="86">
        <f>1.5*11+2*3+2*2+0.5*10+0.5*9</f>
        <v>36</v>
      </c>
      <c r="E16" s="86">
        <v>0</v>
      </c>
      <c r="F16" s="86">
        <v>0</v>
      </c>
      <c r="G16" s="86">
        <v>0</v>
      </c>
      <c r="H16" s="86">
        <v>0</v>
      </c>
      <c r="I16" s="86">
        <v>2</v>
      </c>
      <c r="J16" s="86">
        <v>0</v>
      </c>
      <c r="K16" s="92">
        <f t="shared" si="1"/>
        <v>38</v>
      </c>
      <c r="L16" s="93">
        <f>K16/$K$20</f>
        <v>0.13427561837455831</v>
      </c>
      <c r="M16" s="90">
        <f t="shared" si="3"/>
        <v>97.5</v>
      </c>
      <c r="N16" s="91">
        <f t="shared" si="4"/>
        <v>0.36923076923076925</v>
      </c>
      <c r="O16" s="69"/>
      <c r="P16" s="70"/>
    </row>
    <row r="17" spans="1:16" x14ac:dyDescent="0.35">
      <c r="A17" s="85" t="s">
        <v>38</v>
      </c>
      <c r="B17" s="86">
        <f>2*11+2*10+2*9</f>
        <v>60</v>
      </c>
      <c r="C17" s="87">
        <f t="shared" si="0"/>
        <v>7.2727272727272724E-2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2</v>
      </c>
      <c r="J17" s="86">
        <v>0</v>
      </c>
      <c r="K17" s="88">
        <f t="shared" si="1"/>
        <v>2</v>
      </c>
      <c r="L17" s="89">
        <f t="shared" si="2"/>
        <v>7.0671378091872791E-3</v>
      </c>
      <c r="M17" s="90">
        <f t="shared" si="3"/>
        <v>62</v>
      </c>
      <c r="N17" s="91">
        <f t="shared" si="4"/>
        <v>0</v>
      </c>
      <c r="O17" s="70"/>
      <c r="P17" s="70"/>
    </row>
    <row r="18" spans="1:16" ht="24.5" x14ac:dyDescent="0.35">
      <c r="A18" s="96" t="s">
        <v>95</v>
      </c>
      <c r="B18" s="97">
        <f>18+4</f>
        <v>22</v>
      </c>
      <c r="C18" s="87"/>
      <c r="D18" s="97">
        <v>22</v>
      </c>
      <c r="E18" s="86"/>
      <c r="F18" s="86"/>
      <c r="G18" s="86"/>
      <c r="H18" s="86"/>
      <c r="I18" s="86"/>
      <c r="J18" s="86"/>
      <c r="K18" s="92"/>
      <c r="L18" s="93"/>
      <c r="M18" s="90"/>
      <c r="N18" s="98"/>
      <c r="O18" s="70"/>
      <c r="P18" s="70"/>
    </row>
    <row r="19" spans="1:16" ht="24.5" x14ac:dyDescent="0.35">
      <c r="A19" s="96" t="s">
        <v>96</v>
      </c>
      <c r="B19" s="97">
        <f>5</f>
        <v>5</v>
      </c>
      <c r="C19" s="86"/>
      <c r="D19" s="97">
        <v>5</v>
      </c>
      <c r="E19" s="86"/>
      <c r="F19" s="86"/>
      <c r="G19" s="86"/>
      <c r="H19" s="86"/>
      <c r="I19" s="86"/>
      <c r="J19" s="86"/>
      <c r="K19" s="92"/>
      <c r="L19" s="93"/>
      <c r="M19" s="86"/>
      <c r="N19" s="91"/>
    </row>
    <row r="20" spans="1:16" s="6" customFormat="1" x14ac:dyDescent="0.35">
      <c r="A20" s="99" t="s">
        <v>97</v>
      </c>
      <c r="B20" s="94">
        <f>B3+B4+B5+B6+B8+B9+B10+B11+B12+B13+B14+B15+B16+B17+B7-B18-B19</f>
        <v>825</v>
      </c>
      <c r="C20" s="94">
        <f>B20/$B$20</f>
        <v>1</v>
      </c>
      <c r="D20" s="94">
        <f>SUM(D3:D19)</f>
        <v>188</v>
      </c>
      <c r="E20" s="94">
        <f t="shared" ref="E20:J20" si="5">SUM(E3:E17)</f>
        <v>18</v>
      </c>
      <c r="F20" s="94">
        <f t="shared" si="5"/>
        <v>27.5</v>
      </c>
      <c r="G20" s="94">
        <f t="shared" si="5"/>
        <v>12</v>
      </c>
      <c r="H20" s="94">
        <f t="shared" si="5"/>
        <v>3</v>
      </c>
      <c r="I20" s="94">
        <f t="shared" si="5"/>
        <v>14.5</v>
      </c>
      <c r="J20" s="94">
        <f t="shared" si="5"/>
        <v>20</v>
      </c>
      <c r="K20" s="92">
        <f>SUM(D20:J20)</f>
        <v>283</v>
      </c>
      <c r="L20" s="93">
        <f>K20/$K$20</f>
        <v>1</v>
      </c>
      <c r="M20" s="94">
        <f>K20+B20</f>
        <v>1108</v>
      </c>
      <c r="N20" s="100"/>
    </row>
    <row r="21" spans="1:16" s="6" customFormat="1" x14ac:dyDescent="0.35">
      <c r="A21" s="76"/>
      <c r="B21" s="73"/>
      <c r="C21" s="73"/>
      <c r="D21" s="74">
        <f>D20/K20</f>
        <v>0.66431095406360419</v>
      </c>
      <c r="E21" s="189">
        <f>(E20+F20+G20+H20)/K20</f>
        <v>0.21378091872791519</v>
      </c>
      <c r="F21" s="189"/>
      <c r="G21" s="189"/>
      <c r="H21" s="189"/>
      <c r="I21" s="189">
        <f>(J20+I20)/K20</f>
        <v>0.12190812720848057</v>
      </c>
      <c r="J21" s="189"/>
      <c r="K21" s="71"/>
      <c r="L21" s="72"/>
      <c r="M21" s="73"/>
      <c r="N21" s="75"/>
    </row>
    <row r="22" spans="1:16" x14ac:dyDescent="0.35">
      <c r="A22" s="76" t="s">
        <v>98</v>
      </c>
      <c r="B22" s="73">
        <f>819+6</f>
        <v>825</v>
      </c>
      <c r="C22" s="66"/>
      <c r="D22" s="67"/>
      <c r="E22" s="66"/>
      <c r="F22" s="66"/>
      <c r="G22" s="66"/>
      <c r="H22" s="66"/>
      <c r="I22" s="66"/>
      <c r="J22" s="66"/>
      <c r="K22" s="73">
        <v>284</v>
      </c>
      <c r="L22" s="73"/>
      <c r="M22" s="66">
        <f>K22+B22</f>
        <v>1109</v>
      </c>
      <c r="N22" s="68"/>
    </row>
    <row r="23" spans="1:16" x14ac:dyDescent="0.35">
      <c r="A23" s="77"/>
      <c r="B23" s="78"/>
      <c r="N23" s="70"/>
    </row>
    <row r="24" spans="1:16" x14ac:dyDescent="0.35">
      <c r="A24" s="79"/>
      <c r="B24" s="80"/>
    </row>
    <row r="25" spans="1:16" x14ac:dyDescent="0.35">
      <c r="A25" s="79"/>
      <c r="B25" s="80"/>
    </row>
  </sheetData>
  <sheetProtection selectLockedCells="1" selectUnlockedCells="1"/>
  <mergeCells count="8">
    <mergeCell ref="M1:M2"/>
    <mergeCell ref="N1:N2"/>
    <mergeCell ref="E21:H21"/>
    <mergeCell ref="I21:J21"/>
    <mergeCell ref="B1:B2"/>
    <mergeCell ref="E1:H1"/>
    <mergeCell ref="I1:J1"/>
    <mergeCell ref="K1:K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TRMD</vt:lpstr>
      <vt:lpstr>2nde</vt:lpstr>
      <vt:lpstr>1ère</vt:lpstr>
      <vt:lpstr>Term</vt:lpstr>
      <vt:lpstr>Autonomie</vt:lpstr>
      <vt:lpstr>Autonomie!Excel_BuiltIn_Print_Area</vt:lpstr>
      <vt:lpstr>TRMD!Excel_BuiltIn_Print_Area</vt:lpstr>
      <vt:lpstr>Autonomie!Zone_d_impression</vt:lpstr>
      <vt:lpstr>TRMD!Zone_d_impression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cathe</cp:lastModifiedBy>
  <cp:lastPrinted>2023-06-20T13:43:32Z</cp:lastPrinted>
  <dcterms:created xsi:type="dcterms:W3CDTF">2025-01-25T17:13:03Z</dcterms:created>
  <dcterms:modified xsi:type="dcterms:W3CDTF">2025-01-26T15:49:05Z</dcterms:modified>
</cp:coreProperties>
</file>